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heets/sheet1.xml" ContentType="application/vnd.openxmlformats-officedocument.spreadsheetml.chart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autoCompressPictures="0" defaultThemeVersion="124226"/>
  <mc:AlternateContent xmlns:mc="http://schemas.openxmlformats.org/markup-compatibility/2006">
    <mc:Choice Requires="x15">
      <x15ac:absPath xmlns:x15ac="http://schemas.microsoft.com/office/spreadsheetml/2010/11/ac" url="https://aaii.sharepoint.com/sites/Journal/Shared Documents/Rebalancing-Charles/"/>
    </mc:Choice>
  </mc:AlternateContent>
  <xr:revisionPtr revIDLastSave="605" documentId="14_{B4916EDE-B9B2-0943-8FB9-E372F6D533C2}" xr6:coauthVersionLast="46" xr6:coauthVersionMax="46" xr10:uidLastSave="{E81C26CD-E737-AB45-A5A5-684AE1889B2F}"/>
  <bookViews>
    <workbookView xWindow="2780" yWindow="4340" windowWidth="28220" windowHeight="19900" tabRatio="892"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4% Withdrawals-No Rebalancing" sheetId="9" r:id="rId16"/>
    <sheet name="4% Withdrawals-Rebalanced" sheetId="10" r:id="rId17"/>
    <sheet name="4% Withdrawals-Annual Rebalance" sheetId="20" r:id="rId18"/>
    <sheet name="4% Withdrawals-Panic" sheetId="12" r:id="rId19"/>
    <sheet name="Staying vs Panicking" sheetId="16" r:id="rId20"/>
    <sheet name="Panic Chart" sheetId="18" r:id="rId21"/>
    <sheet name="Chart Data" sheetId="14" r:id="rId22"/>
  </sheets>
  <definedNames>
    <definedName name="_xlnm.Print_Area" localSheetId="2">Summary!$A$1:$D$35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A34" i="14" l="1"/>
  <c r="B34" i="14"/>
  <c r="C34" i="14"/>
  <c r="D34" i="14"/>
  <c r="A35" i="14"/>
  <c r="B35" i="14"/>
  <c r="C35" i="14"/>
  <c r="D35" i="14"/>
  <c r="AN41" i="24"/>
  <c r="AM41" i="24"/>
  <c r="AL41" i="24"/>
  <c r="AK41" i="24"/>
  <c r="AJ41" i="24"/>
  <c r="AI41" i="24"/>
  <c r="AH41" i="24"/>
  <c r="AZ75" i="23" l="1"/>
  <c r="AZ74" i="23"/>
  <c r="AZ73" i="23"/>
  <c r="AZ72" i="23"/>
  <c r="AZ71" i="23"/>
  <c r="AZ70" i="23"/>
  <c r="AZ69" i="23"/>
  <c r="AZ68" i="23"/>
  <c r="AZ67" i="23"/>
  <c r="AZ66" i="23"/>
  <c r="AZ65" i="23"/>
  <c r="AZ64" i="23"/>
  <c r="AZ63" i="23"/>
  <c r="AZ62" i="23"/>
  <c r="AZ61" i="23"/>
  <c r="AZ60" i="23"/>
  <c r="AZ59" i="23"/>
  <c r="AZ58" i="23"/>
  <c r="AZ57" i="23"/>
  <c r="AZ56" i="23"/>
  <c r="AZ55" i="23"/>
  <c r="AZ54" i="23"/>
  <c r="AZ53" i="23"/>
  <c r="AZ52" i="23"/>
  <c r="AZ51" i="23"/>
  <c r="AZ50" i="23"/>
  <c r="AZ49" i="23"/>
  <c r="AZ48" i="23"/>
  <c r="AZ47" i="23"/>
  <c r="AZ46" i="23"/>
  <c r="AZ45" i="23"/>
  <c r="AZ44" i="23"/>
  <c r="AZ43" i="23"/>
  <c r="AW75" i="23"/>
  <c r="AV75" i="23"/>
  <c r="AW74" i="23"/>
  <c r="AV74" i="23"/>
  <c r="AW73" i="23"/>
  <c r="AV73" i="23"/>
  <c r="AW72" i="23"/>
  <c r="AV72" i="23"/>
  <c r="AW71" i="23"/>
  <c r="AV71" i="23"/>
  <c r="AW70" i="23"/>
  <c r="AV70" i="23"/>
  <c r="AW69" i="23"/>
  <c r="AV69" i="23"/>
  <c r="AW68" i="23"/>
  <c r="AV68" i="23"/>
  <c r="AW67" i="23"/>
  <c r="AV67" i="23"/>
  <c r="AW66" i="23"/>
  <c r="AV66" i="23"/>
  <c r="AW65" i="23"/>
  <c r="AV65" i="23"/>
  <c r="AW64" i="23"/>
  <c r="AV64" i="23"/>
  <c r="AW63" i="23"/>
  <c r="AV63" i="23"/>
  <c r="AW62" i="23"/>
  <c r="AV62" i="23"/>
  <c r="AW61" i="23"/>
  <c r="AV61" i="23"/>
  <c r="AW60" i="23"/>
  <c r="AV60" i="23"/>
  <c r="AW59" i="23"/>
  <c r="AV59" i="23"/>
  <c r="AW58" i="23"/>
  <c r="AV58" i="23"/>
  <c r="AW57" i="23"/>
  <c r="AV57" i="23"/>
  <c r="AW56" i="23"/>
  <c r="AV56" i="23"/>
  <c r="AW55" i="23"/>
  <c r="AV55" i="23"/>
  <c r="AW54" i="23"/>
  <c r="AV54" i="23"/>
  <c r="AY75" i="23"/>
  <c r="AY74" i="23"/>
  <c r="AY73" i="23"/>
  <c r="AY72" i="23"/>
  <c r="AY71" i="23"/>
  <c r="AY70" i="23"/>
  <c r="AY69" i="23"/>
  <c r="AY68" i="23"/>
  <c r="AY67" i="23"/>
  <c r="AY66" i="23"/>
  <c r="AY65" i="23"/>
  <c r="AY64" i="23"/>
  <c r="AY63" i="23"/>
  <c r="AY62" i="23"/>
  <c r="AY61" i="23"/>
  <c r="AY60" i="23"/>
  <c r="AY59" i="23"/>
  <c r="AY58" i="23"/>
  <c r="AY57" i="23"/>
  <c r="AY56" i="23"/>
  <c r="AY55" i="23"/>
  <c r="AY54" i="23"/>
  <c r="AY53" i="23"/>
  <c r="AY52" i="23"/>
  <c r="AM42" i="21"/>
  <c r="AL42" i="21"/>
  <c r="AK42" i="21"/>
  <c r="AJ42" i="21"/>
  <c r="AI42" i="21"/>
  <c r="AH42" i="21"/>
  <c r="AG42" i="21"/>
  <c r="P42" i="1"/>
  <c r="AN42" i="23" l="1"/>
  <c r="AM42" i="23"/>
  <c r="AL42" i="23"/>
  <c r="AK42" i="23"/>
  <c r="AJ42" i="23"/>
  <c r="AI42" i="23"/>
  <c r="AH42" i="23"/>
  <c r="AU43" i="23"/>
  <c r="AM79" i="4" l="1"/>
  <c r="Z64" i="21" l="1"/>
  <c r="Y64" i="21"/>
  <c r="V64" i="21"/>
  <c r="U64" i="21"/>
  <c r="S64" i="21"/>
  <c r="X64" i="21"/>
  <c r="Y63" i="21"/>
  <c r="V63" i="21"/>
  <c r="U63" i="21"/>
  <c r="S63" i="21"/>
  <c r="X63" i="21"/>
  <c r="BD79" i="22"/>
  <c r="BD77" i="10" l="1"/>
  <c r="BJ74" i="10"/>
  <c r="BI74" i="10"/>
  <c r="BG74" i="10"/>
  <c r="BF74" i="10"/>
  <c r="BD74" i="10"/>
  <c r="AT74" i="10"/>
  <c r="AZ74" i="10"/>
  <c r="BJ69" i="10"/>
  <c r="BI69" i="10"/>
  <c r="BG69" i="10"/>
  <c r="BF69" i="10"/>
  <c r="BD69" i="10"/>
  <c r="BJ68" i="10"/>
  <c r="BI68" i="10"/>
  <c r="BG68" i="10"/>
  <c r="BF68" i="10"/>
  <c r="BD68" i="10"/>
  <c r="AZ68" i="10"/>
  <c r="BJ65" i="10"/>
  <c r="BI65" i="10"/>
  <c r="BG65" i="10"/>
  <c r="BF65" i="10"/>
  <c r="BD65" i="10"/>
  <c r="BJ64" i="10"/>
  <c r="BI64" i="10"/>
  <c r="BG64" i="10"/>
  <c r="BF64" i="10"/>
  <c r="BD64" i="10"/>
  <c r="AZ64" i="10"/>
  <c r="AV64" i="10"/>
  <c r="AV63" i="10"/>
  <c r="AV62" i="10"/>
  <c r="AV61" i="10"/>
  <c r="AV60" i="10"/>
  <c r="AV59" i="10"/>
  <c r="AV58" i="10"/>
  <c r="AV57" i="10"/>
  <c r="AV56" i="10"/>
  <c r="AV55" i="10"/>
  <c r="AV54" i="10"/>
  <c r="AY64" i="10"/>
  <c r="AY63" i="10"/>
  <c r="AY62" i="10"/>
  <c r="AY61" i="10"/>
  <c r="AY60" i="10"/>
  <c r="AY59" i="10"/>
  <c r="AY58" i="10"/>
  <c r="AY57" i="10"/>
  <c r="AY56" i="10"/>
  <c r="AY55" i="10"/>
  <c r="AY54" i="10"/>
  <c r="AY53" i="10"/>
  <c r="AY52" i="10"/>
  <c r="AZ63" i="10"/>
  <c r="AZ62" i="10"/>
  <c r="AZ61" i="10"/>
  <c r="AZ60" i="10"/>
  <c r="AZ59" i="10"/>
  <c r="AZ58" i="10"/>
  <c r="AZ57" i="10"/>
  <c r="AZ56" i="10"/>
  <c r="AZ55" i="10"/>
  <c r="AZ54" i="10"/>
  <c r="AZ53" i="10"/>
  <c r="AZ52" i="10"/>
  <c r="AZ51" i="10"/>
  <c r="AZ50" i="10"/>
  <c r="AZ49" i="10"/>
  <c r="AZ48" i="10"/>
  <c r="AZ47" i="10"/>
  <c r="AZ46" i="10"/>
  <c r="AZ45" i="10"/>
  <c r="AZ44" i="10"/>
  <c r="AZ43" i="10"/>
  <c r="AX51" i="10"/>
  <c r="AX50" i="10"/>
  <c r="AX49" i="10"/>
  <c r="AX48" i="10"/>
  <c r="AX47" i="10"/>
  <c r="AX46" i="10"/>
  <c r="AX45" i="10"/>
  <c r="AX44" i="10"/>
  <c r="AX43" i="10"/>
  <c r="AU53" i="10"/>
  <c r="AU52" i="10"/>
  <c r="AU51" i="10"/>
  <c r="AU50" i="10"/>
  <c r="AU49" i="10"/>
  <c r="AU48" i="10"/>
  <c r="AU47" i="10"/>
  <c r="AU46" i="10"/>
  <c r="AU45" i="10"/>
  <c r="AU44" i="10"/>
  <c r="AU43" i="10"/>
  <c r="H42" i="12"/>
  <c r="F42" i="12"/>
  <c r="C42" i="12"/>
  <c r="B42" i="12"/>
  <c r="H42" i="20"/>
  <c r="F42" i="20"/>
  <c r="C42" i="20"/>
  <c r="B42" i="20"/>
  <c r="H42" i="10"/>
  <c r="F42" i="10"/>
  <c r="C42" i="10"/>
  <c r="B42" i="10"/>
  <c r="H42" i="9"/>
  <c r="F42" i="9"/>
  <c r="C42" i="9"/>
  <c r="B42" i="9"/>
  <c r="BD77" i="22"/>
  <c r="AZ74" i="22"/>
  <c r="BJ74" i="22"/>
  <c r="BI74" i="22"/>
  <c r="BG74" i="22"/>
  <c r="BF74" i="22"/>
  <c r="BD74" i="22"/>
  <c r="BJ69" i="22"/>
  <c r="BI69" i="22"/>
  <c r="BG69" i="22"/>
  <c r="BF69" i="22"/>
  <c r="BD69" i="22"/>
  <c r="BJ68" i="22"/>
  <c r="BI68" i="22"/>
  <c r="BG68" i="22"/>
  <c r="BF68" i="22"/>
  <c r="BD68" i="22"/>
  <c r="AZ65" i="22"/>
  <c r="BJ65" i="22"/>
  <c r="BI65" i="22"/>
  <c r="BG65" i="22"/>
  <c r="BF65" i="22"/>
  <c r="BD65" i="22"/>
  <c r="BJ64" i="22"/>
  <c r="BI64" i="22"/>
  <c r="BG64" i="22"/>
  <c r="BF64" i="22"/>
  <c r="BD64" i="22"/>
  <c r="AN64" i="22"/>
  <c r="AH57" i="22"/>
  <c r="AZ64" i="22"/>
  <c r="AZ63" i="22"/>
  <c r="AZ62" i="22"/>
  <c r="AZ61" i="22"/>
  <c r="AZ60" i="22"/>
  <c r="AZ59" i="22"/>
  <c r="AZ58" i="22"/>
  <c r="AZ57" i="22"/>
  <c r="AZ56" i="22"/>
  <c r="AZ55" i="22"/>
  <c r="AZ54" i="22"/>
  <c r="AZ53" i="22"/>
  <c r="AZ52" i="22"/>
  <c r="AZ51" i="22"/>
  <c r="AZ50" i="22"/>
  <c r="AZ49" i="22"/>
  <c r="AZ48" i="22"/>
  <c r="AZ47" i="22"/>
  <c r="AZ46" i="22"/>
  <c r="AZ45" i="22"/>
  <c r="AZ44" i="22"/>
  <c r="AY64" i="22"/>
  <c r="AY63" i="22"/>
  <c r="AY62" i="22"/>
  <c r="AY61" i="22"/>
  <c r="AY60" i="22"/>
  <c r="AY59" i="22"/>
  <c r="AY58" i="22"/>
  <c r="AY57" i="22"/>
  <c r="AY56" i="22"/>
  <c r="AY55" i="22"/>
  <c r="AY54" i="22"/>
  <c r="AY53" i="22"/>
  <c r="AY52" i="22"/>
  <c r="AV64" i="22"/>
  <c r="AV63" i="22"/>
  <c r="AV62" i="22"/>
  <c r="AV61" i="22"/>
  <c r="AV60" i="22"/>
  <c r="AV59" i="22"/>
  <c r="AV58" i="22"/>
  <c r="AV57" i="22"/>
  <c r="AV56" i="22"/>
  <c r="AV55" i="22"/>
  <c r="AV54" i="22"/>
  <c r="AZ43" i="22"/>
  <c r="AX51" i="22"/>
  <c r="AX50" i="22"/>
  <c r="AX49" i="22"/>
  <c r="AX48" i="22"/>
  <c r="AX47" i="22"/>
  <c r="AX46" i="22"/>
  <c r="AX45" i="22"/>
  <c r="AX44" i="22"/>
  <c r="AX43" i="22"/>
  <c r="AU53" i="22"/>
  <c r="AU52" i="22"/>
  <c r="AU51" i="22"/>
  <c r="AU50" i="22"/>
  <c r="AU49" i="22"/>
  <c r="AU48" i="22"/>
  <c r="AU47" i="22"/>
  <c r="AU46" i="22"/>
  <c r="AU45" i="22"/>
  <c r="AU44" i="22"/>
  <c r="AU43" i="22"/>
  <c r="I41" i="24"/>
  <c r="H41" i="24"/>
  <c r="F41" i="24"/>
  <c r="C41" i="24"/>
  <c r="B41" i="24"/>
  <c r="H42" i="23"/>
  <c r="F42" i="23"/>
  <c r="C42" i="23"/>
  <c r="B42" i="23"/>
  <c r="H42" i="22"/>
  <c r="F42" i="22"/>
  <c r="C42" i="22"/>
  <c r="B42" i="22"/>
  <c r="H42" i="21"/>
  <c r="F42" i="21"/>
  <c r="C42" i="21"/>
  <c r="B42" i="21"/>
  <c r="AM78" i="4"/>
  <c r="AS65" i="4"/>
  <c r="AR65" i="4"/>
  <c r="AP65" i="4"/>
  <c r="AO65" i="4"/>
  <c r="AM65" i="4"/>
  <c r="AS64" i="4"/>
  <c r="AR64" i="4"/>
  <c r="AP64" i="4"/>
  <c r="AO64" i="4"/>
  <c r="AM64" i="4"/>
  <c r="AS49" i="4"/>
  <c r="AQ49" i="4"/>
  <c r="AN49" i="4"/>
  <c r="AM49" i="4"/>
  <c r="AI49" i="4"/>
  <c r="AS47" i="4"/>
  <c r="AQ47" i="4"/>
  <c r="AN47" i="4"/>
  <c r="AM47" i="4"/>
  <c r="AD47" i="4"/>
  <c r="AD46" i="4"/>
  <c r="AD45" i="4"/>
  <c r="AD44" i="4"/>
  <c r="AD43" i="4"/>
  <c r="AG47" i="4"/>
  <c r="AG46" i="4"/>
  <c r="AG45" i="4"/>
  <c r="AG44" i="4"/>
  <c r="AG43" i="4"/>
  <c r="AI47" i="4"/>
  <c r="AI46" i="4"/>
  <c r="AI45" i="4"/>
  <c r="AI44" i="4"/>
  <c r="AI43" i="4"/>
  <c r="U42" i="1"/>
  <c r="E54" i="7"/>
  <c r="D54" i="7"/>
  <c r="E54" i="19"/>
  <c r="D54" i="19"/>
  <c r="E54" i="1"/>
  <c r="D54" i="1"/>
  <c r="AS75" i="12"/>
  <c r="AS74" i="12"/>
  <c r="AG75" i="12"/>
  <c r="AG74" i="12"/>
  <c r="R75" i="12"/>
  <c r="R74" i="12"/>
  <c r="A75" i="12"/>
  <c r="N75" i="12" s="1"/>
  <c r="A74" i="12"/>
  <c r="N74" i="12" s="1"/>
  <c r="O36" i="12"/>
  <c r="N36" i="12"/>
  <c r="H36" i="12"/>
  <c r="G36" i="12"/>
  <c r="E36" i="12"/>
  <c r="D36" i="12"/>
  <c r="B36" i="12"/>
  <c r="A36" i="12"/>
  <c r="O35" i="12"/>
  <c r="N35" i="12"/>
  <c r="H35" i="12"/>
  <c r="G35" i="12"/>
  <c r="E35" i="12"/>
  <c r="D35" i="12"/>
  <c r="B35" i="12"/>
  <c r="A35" i="12"/>
  <c r="BC75" i="20"/>
  <c r="BC74" i="20"/>
  <c r="AG75" i="20"/>
  <c r="AS75" i="20" s="1"/>
  <c r="AG74" i="20"/>
  <c r="AS74" i="20" s="1"/>
  <c r="R75" i="20"/>
  <c r="R74" i="20"/>
  <c r="A75" i="20"/>
  <c r="N75" i="20" s="1"/>
  <c r="A74" i="20"/>
  <c r="N74" i="20" s="1"/>
  <c r="O36" i="20"/>
  <c r="N36" i="20"/>
  <c r="H36" i="20"/>
  <c r="G36" i="20"/>
  <c r="E36" i="20"/>
  <c r="D36" i="20"/>
  <c r="B36" i="20"/>
  <c r="A36" i="20"/>
  <c r="O35" i="20"/>
  <c r="N35" i="20"/>
  <c r="H35" i="20"/>
  <c r="G35" i="20"/>
  <c r="E35" i="20"/>
  <c r="D35" i="20"/>
  <c r="B35" i="20"/>
  <c r="A35" i="20"/>
  <c r="BC75" i="10"/>
  <c r="AS75" i="10"/>
  <c r="BC74" i="10"/>
  <c r="AS74" i="10"/>
  <c r="AG75" i="10"/>
  <c r="R75" i="10"/>
  <c r="AG74" i="10"/>
  <c r="R74" i="10"/>
  <c r="A75" i="10"/>
  <c r="N75" i="10" s="1"/>
  <c r="A74" i="10"/>
  <c r="N74" i="10" s="1"/>
  <c r="O36" i="10"/>
  <c r="N36" i="10"/>
  <c r="H36" i="10"/>
  <c r="G36" i="10"/>
  <c r="E36" i="10"/>
  <c r="D36" i="10"/>
  <c r="B36" i="10"/>
  <c r="A36" i="10"/>
  <c r="O35" i="10"/>
  <c r="N35" i="10"/>
  <c r="H35" i="10"/>
  <c r="G35" i="10"/>
  <c r="E35" i="10"/>
  <c r="D35" i="10"/>
  <c r="B35" i="10"/>
  <c r="A35" i="10"/>
  <c r="AF75" i="9"/>
  <c r="AF74" i="9"/>
  <c r="R75" i="9"/>
  <c r="R74" i="9"/>
  <c r="A75" i="9"/>
  <c r="N75" i="9" s="1"/>
  <c r="A74" i="9"/>
  <c r="N74" i="9" s="1"/>
  <c r="O36" i="9"/>
  <c r="N36" i="9"/>
  <c r="H36" i="9"/>
  <c r="G36" i="9"/>
  <c r="E36" i="9"/>
  <c r="D36" i="9"/>
  <c r="B36" i="9"/>
  <c r="A36" i="9"/>
  <c r="O35" i="9"/>
  <c r="N35" i="9"/>
  <c r="H35" i="9"/>
  <c r="G35" i="9"/>
  <c r="E35" i="9"/>
  <c r="D35" i="9"/>
  <c r="B35" i="9"/>
  <c r="A35" i="9"/>
  <c r="AF75" i="29"/>
  <c r="AN74" i="29"/>
  <c r="AM74" i="29"/>
  <c r="AL74" i="29"/>
  <c r="AJ74" i="29"/>
  <c r="AI74" i="29"/>
  <c r="AO74" i="29" s="1"/>
  <c r="AG74" i="29"/>
  <c r="AF74" i="29"/>
  <c r="R75" i="29"/>
  <c r="Z74" i="29"/>
  <c r="AA74" i="29" s="1"/>
  <c r="AB74" i="29" s="1"/>
  <c r="AC74" i="29" s="1"/>
  <c r="S74" i="29"/>
  <c r="R74" i="29"/>
  <c r="N75" i="29"/>
  <c r="O74" i="29"/>
  <c r="O75" i="29" s="1"/>
  <c r="N74" i="29"/>
  <c r="A75" i="29"/>
  <c r="I74" i="29"/>
  <c r="J74" i="29" s="1"/>
  <c r="K74" i="29" s="1"/>
  <c r="L74" i="29" s="1"/>
  <c r="B74" i="29"/>
  <c r="A74" i="29"/>
  <c r="O36" i="29"/>
  <c r="N36" i="29"/>
  <c r="H36" i="29"/>
  <c r="G36" i="29"/>
  <c r="E36" i="29"/>
  <c r="D36" i="29"/>
  <c r="B36" i="29"/>
  <c r="B75" i="29" s="1"/>
  <c r="S75" i="29" s="1"/>
  <c r="A36" i="29"/>
  <c r="O35" i="29"/>
  <c r="N35" i="29"/>
  <c r="H35" i="29"/>
  <c r="G35" i="29"/>
  <c r="E35" i="29"/>
  <c r="D35" i="29"/>
  <c r="B35" i="29"/>
  <c r="A35" i="29"/>
  <c r="BC75" i="26"/>
  <c r="BK74" i="26"/>
  <c r="BG74" i="26" s="1"/>
  <c r="BJ74" i="26"/>
  <c r="BI74" i="26"/>
  <c r="BF74" i="26"/>
  <c r="BD74" i="26"/>
  <c r="BL74" i="26" s="1"/>
  <c r="BC74" i="26"/>
  <c r="AG75" i="26"/>
  <c r="AS75" i="26" s="1"/>
  <c r="BA74" i="26"/>
  <c r="AZ74" i="26"/>
  <c r="AY74" i="26"/>
  <c r="AW74" i="26"/>
  <c r="AV74" i="26"/>
  <c r="AT74" i="26"/>
  <c r="AN74" i="26"/>
  <c r="AM74" i="26"/>
  <c r="AK74" i="26"/>
  <c r="AJ74" i="26"/>
  <c r="AH74" i="26"/>
  <c r="AP74" i="26" s="1"/>
  <c r="AG74" i="26"/>
  <c r="AS74" i="26" s="1"/>
  <c r="R75" i="26"/>
  <c r="Y74" i="26"/>
  <c r="S74" i="26"/>
  <c r="Z74" i="26" s="1"/>
  <c r="R74" i="26"/>
  <c r="A75" i="26"/>
  <c r="N75" i="26" s="1"/>
  <c r="O74" i="26"/>
  <c r="O75" i="26" s="1"/>
  <c r="N74" i="26"/>
  <c r="H74" i="26"/>
  <c r="I74" i="26" s="1"/>
  <c r="J74" i="26" s="1"/>
  <c r="K74" i="26" s="1"/>
  <c r="L74" i="26" s="1"/>
  <c r="B74" i="26"/>
  <c r="A74" i="26"/>
  <c r="O36" i="26"/>
  <c r="N36" i="26"/>
  <c r="H36" i="26"/>
  <c r="H75" i="26" s="1"/>
  <c r="Y75" i="26" s="1"/>
  <c r="G36" i="26"/>
  <c r="E36" i="26"/>
  <c r="D36" i="26"/>
  <c r="B36" i="26"/>
  <c r="B75" i="26" s="1"/>
  <c r="A36" i="26"/>
  <c r="O35" i="26"/>
  <c r="N35" i="26"/>
  <c r="H35" i="26"/>
  <c r="G35" i="26"/>
  <c r="E35" i="26"/>
  <c r="D35" i="26"/>
  <c r="B35" i="26"/>
  <c r="A35" i="26"/>
  <c r="AS74" i="24"/>
  <c r="AG74" i="24"/>
  <c r="AS73" i="24"/>
  <c r="AG73" i="24"/>
  <c r="R74" i="24"/>
  <c r="R73" i="24"/>
  <c r="A74" i="24"/>
  <c r="N74" i="24" s="1"/>
  <c r="A73" i="24"/>
  <c r="N73" i="24" s="1"/>
  <c r="O36" i="24"/>
  <c r="N36" i="24"/>
  <c r="H36" i="24"/>
  <c r="G36" i="24"/>
  <c r="E36" i="24"/>
  <c r="D36" i="24"/>
  <c r="B36" i="24"/>
  <c r="A36" i="24"/>
  <c r="O35" i="24"/>
  <c r="N35" i="24"/>
  <c r="H35" i="24"/>
  <c r="G35" i="24"/>
  <c r="E35" i="24"/>
  <c r="D35" i="24"/>
  <c r="B35" i="24"/>
  <c r="A35" i="24"/>
  <c r="BC75" i="23"/>
  <c r="BC74" i="23"/>
  <c r="AS75" i="23"/>
  <c r="AS74" i="23"/>
  <c r="AG75" i="23"/>
  <c r="AG74" i="23"/>
  <c r="R75" i="23"/>
  <c r="R74" i="23"/>
  <c r="N75" i="23"/>
  <c r="N74" i="23"/>
  <c r="A75" i="23"/>
  <c r="A74" i="23"/>
  <c r="O36" i="23"/>
  <c r="N36" i="23"/>
  <c r="H36" i="23"/>
  <c r="G36" i="23"/>
  <c r="E36" i="23"/>
  <c r="D36" i="23"/>
  <c r="B36" i="23"/>
  <c r="A36" i="23"/>
  <c r="O35" i="23"/>
  <c r="N35" i="23"/>
  <c r="H35" i="23"/>
  <c r="G35" i="23"/>
  <c r="E35" i="23"/>
  <c r="D35" i="23"/>
  <c r="B35" i="23"/>
  <c r="A35" i="23"/>
  <c r="BC75" i="22"/>
  <c r="BC74" i="22"/>
  <c r="AS75" i="22"/>
  <c r="AS74" i="22"/>
  <c r="AG75" i="22"/>
  <c r="AG74" i="22"/>
  <c r="R75" i="22"/>
  <c r="R74" i="22"/>
  <c r="A75" i="22"/>
  <c r="N75" i="22" s="1"/>
  <c r="A74" i="22"/>
  <c r="N74" i="22" s="1"/>
  <c r="O36" i="22"/>
  <c r="N36" i="22"/>
  <c r="H36" i="22"/>
  <c r="G36" i="22"/>
  <c r="E36" i="22"/>
  <c r="D36" i="22"/>
  <c r="B36" i="22"/>
  <c r="A36" i="22"/>
  <c r="O35" i="22"/>
  <c r="N35" i="22"/>
  <c r="H35" i="22"/>
  <c r="G35" i="22"/>
  <c r="E35" i="22"/>
  <c r="D35" i="22"/>
  <c r="B35" i="22"/>
  <c r="A35" i="22"/>
  <c r="A75" i="21"/>
  <c r="AF75" i="21" s="1"/>
  <c r="A74" i="21"/>
  <c r="AF74" i="21" s="1"/>
  <c r="I75" i="26" l="1"/>
  <c r="J75" i="26" s="1"/>
  <c r="K75" i="26" s="1"/>
  <c r="L75" i="26" s="1"/>
  <c r="Z75" i="29"/>
  <c r="AG75" i="29"/>
  <c r="AP74" i="29"/>
  <c r="AD75" i="29"/>
  <c r="AA75" i="29"/>
  <c r="AB75" i="29" s="1"/>
  <c r="AC75" i="29" s="1"/>
  <c r="AD74" i="29"/>
  <c r="I75" i="29"/>
  <c r="J75" i="29" s="1"/>
  <c r="K75" i="29" s="1"/>
  <c r="L75" i="29" s="1"/>
  <c r="S75" i="26"/>
  <c r="AO74" i="26"/>
  <c r="AQ74" i="26" s="1"/>
  <c r="AD74" i="26"/>
  <c r="AA74" i="26"/>
  <c r="AB74" i="26" s="1"/>
  <c r="AC74" i="26" s="1"/>
  <c r="R74" i="21"/>
  <c r="R75" i="21"/>
  <c r="N74" i="21"/>
  <c r="N75" i="21"/>
  <c r="B75" i="1"/>
  <c r="A75" i="1"/>
  <c r="O75" i="1" s="1"/>
  <c r="B74" i="1"/>
  <c r="A74" i="1"/>
  <c r="O74" i="1" s="1"/>
  <c r="H36" i="21"/>
  <c r="G36" i="21"/>
  <c r="E36" i="21"/>
  <c r="D36" i="21"/>
  <c r="B36" i="21"/>
  <c r="A36" i="21"/>
  <c r="H35" i="21"/>
  <c r="G35" i="21"/>
  <c r="E35" i="21"/>
  <c r="D35" i="21"/>
  <c r="B35" i="21"/>
  <c r="A35" i="21"/>
  <c r="A35" i="28"/>
  <c r="A74" i="28" s="1"/>
  <c r="O74" i="28" s="1"/>
  <c r="B35" i="28"/>
  <c r="D35" i="28"/>
  <c r="E35" i="28"/>
  <c r="G35" i="28"/>
  <c r="H35" i="28"/>
  <c r="A36" i="28"/>
  <c r="A75" i="28" s="1"/>
  <c r="O75" i="28" s="1"/>
  <c r="B36" i="28"/>
  <c r="D36" i="28"/>
  <c r="E36" i="28"/>
  <c r="G36" i="28"/>
  <c r="H36" i="28"/>
  <c r="A75" i="25"/>
  <c r="AL75" i="25" s="1"/>
  <c r="A35" i="25"/>
  <c r="A74" i="25" s="1"/>
  <c r="AL74" i="25" s="1"/>
  <c r="B35" i="25"/>
  <c r="D35" i="25"/>
  <c r="E35" i="25"/>
  <c r="G35" i="25"/>
  <c r="H35" i="25"/>
  <c r="A36" i="25"/>
  <c r="B36" i="25"/>
  <c r="D36" i="25"/>
  <c r="E36" i="25"/>
  <c r="G36" i="25"/>
  <c r="H36" i="25"/>
  <c r="A75" i="7"/>
  <c r="O75" i="7" s="1"/>
  <c r="AA75" i="7" s="1"/>
  <c r="A35" i="7"/>
  <c r="A74" i="7" s="1"/>
  <c r="O74" i="7" s="1"/>
  <c r="AA74" i="7" s="1"/>
  <c r="B35" i="7"/>
  <c r="D35" i="7"/>
  <c r="E35" i="7"/>
  <c r="G35" i="7"/>
  <c r="H35" i="7"/>
  <c r="A36" i="7"/>
  <c r="B36" i="7"/>
  <c r="D36" i="7"/>
  <c r="E36" i="7"/>
  <c r="G36" i="7"/>
  <c r="H36" i="7"/>
  <c r="A35" i="19"/>
  <c r="A74" i="19" s="1"/>
  <c r="AL74" i="19" s="1"/>
  <c r="B35" i="19"/>
  <c r="D35" i="19"/>
  <c r="E35" i="19"/>
  <c r="G35" i="19"/>
  <c r="H35" i="19"/>
  <c r="A36" i="19"/>
  <c r="A75" i="19" s="1"/>
  <c r="B36" i="19"/>
  <c r="D36" i="19"/>
  <c r="E36" i="19"/>
  <c r="G36" i="19"/>
  <c r="H36" i="19"/>
  <c r="A35" i="4"/>
  <c r="A74" i="4" s="1"/>
  <c r="B35" i="4"/>
  <c r="D35" i="4"/>
  <c r="E35" i="4"/>
  <c r="G35" i="4"/>
  <c r="H35" i="4"/>
  <c r="A36" i="4"/>
  <c r="A75" i="4" s="1"/>
  <c r="B36" i="4"/>
  <c r="D36" i="4"/>
  <c r="E36" i="4"/>
  <c r="G36" i="4"/>
  <c r="H36" i="4"/>
  <c r="AJ75" i="29" l="1"/>
  <c r="AI75" i="29"/>
  <c r="AO75" i="29" s="1"/>
  <c r="AM75" i="29"/>
  <c r="AL75" i="29"/>
  <c r="Z75" i="26"/>
  <c r="AT75" i="26" s="1"/>
  <c r="AH75" i="26"/>
  <c r="O75" i="4"/>
  <c r="AB75" i="4" s="1"/>
  <c r="AL75" i="4"/>
  <c r="AL75" i="19"/>
  <c r="O75" i="19"/>
  <c r="AB75" i="19" s="1"/>
  <c r="AL74" i="4"/>
  <c r="O74" i="4"/>
  <c r="AB74" i="4" s="1"/>
  <c r="O75" i="25"/>
  <c r="AB75" i="25" s="1"/>
  <c r="O74" i="25"/>
  <c r="AB74" i="25" s="1"/>
  <c r="O74" i="19"/>
  <c r="AB74" i="19" s="1"/>
  <c r="P33" i="8"/>
  <c r="P32" i="8"/>
  <c r="P31" i="8"/>
  <c r="P30" i="8"/>
  <c r="P29" i="8"/>
  <c r="P28" i="8"/>
  <c r="P27" i="8"/>
  <c r="U26" i="8"/>
  <c r="T26" i="8"/>
  <c r="S26" i="8"/>
  <c r="R26" i="8"/>
  <c r="Q26" i="8"/>
  <c r="P26" i="8"/>
  <c r="U11" i="8"/>
  <c r="T11" i="8"/>
  <c r="S11" i="8"/>
  <c r="R11" i="8"/>
  <c r="Q11" i="8"/>
  <c r="P13" i="8"/>
  <c r="P14" i="8"/>
  <c r="P15" i="8"/>
  <c r="P16" i="8"/>
  <c r="P17" i="8"/>
  <c r="P18" i="8"/>
  <c r="P19" i="8"/>
  <c r="P12" i="8"/>
  <c r="P11" i="8"/>
  <c r="AN75" i="29" l="1"/>
  <c r="AP75" i="29" s="1"/>
  <c r="BA75" i="26"/>
  <c r="AV75" i="26"/>
  <c r="AK75" i="26"/>
  <c r="AJ75" i="26"/>
  <c r="AM75" i="26"/>
  <c r="BK75" i="26"/>
  <c r="AY75" i="26"/>
  <c r="AW75" i="26"/>
  <c r="AZ75" i="26"/>
  <c r="AN75" i="26"/>
  <c r="AD75" i="26"/>
  <c r="AA75" i="26"/>
  <c r="AB75" i="26" s="1"/>
  <c r="AC75" i="26" s="1"/>
  <c r="Y76" i="29"/>
  <c r="X76" i="29"/>
  <c r="V76" i="29"/>
  <c r="U76" i="29"/>
  <c r="X76" i="26"/>
  <c r="V76" i="26"/>
  <c r="U76" i="26"/>
  <c r="AP75" i="26" l="1"/>
  <c r="AO75" i="26"/>
  <c r="BG75" i="26"/>
  <c r="BJ75" i="26"/>
  <c r="BF75" i="26"/>
  <c r="BD75" i="26"/>
  <c r="BI75" i="26"/>
  <c r="AQ75" i="26" l="1"/>
  <c r="BL75" i="26"/>
  <c r="A5" i="21"/>
  <c r="A44" i="21" s="1"/>
  <c r="R44" i="21" s="1"/>
  <c r="A6" i="21"/>
  <c r="A45" i="21" s="1"/>
  <c r="R45" i="21" s="1"/>
  <c r="A7" i="21"/>
  <c r="A46" i="21" s="1"/>
  <c r="A8" i="21"/>
  <c r="A47" i="21" s="1"/>
  <c r="N47" i="21" s="1"/>
  <c r="A9" i="21"/>
  <c r="A48" i="21" s="1"/>
  <c r="A10" i="21"/>
  <c r="A49" i="21" s="1"/>
  <c r="R49" i="21" s="1"/>
  <c r="A11" i="21"/>
  <c r="A50" i="21" s="1"/>
  <c r="AF50" i="21" s="1"/>
  <c r="A12" i="21"/>
  <c r="A51" i="21" s="1"/>
  <c r="A13" i="21"/>
  <c r="A52" i="21" s="1"/>
  <c r="R52" i="21" s="1"/>
  <c r="A14" i="21"/>
  <c r="A53" i="21" s="1"/>
  <c r="A15" i="21"/>
  <c r="A54" i="21" s="1"/>
  <c r="A16" i="21"/>
  <c r="A55" i="21" s="1"/>
  <c r="A17" i="21"/>
  <c r="A56" i="21" s="1"/>
  <c r="A18" i="21"/>
  <c r="A57" i="21" s="1"/>
  <c r="A19" i="21"/>
  <c r="A58" i="21" s="1"/>
  <c r="A20" i="21"/>
  <c r="A59" i="21" s="1"/>
  <c r="A21" i="21"/>
  <c r="A60" i="21" s="1"/>
  <c r="R60" i="21" s="1"/>
  <c r="A22" i="21"/>
  <c r="A61" i="21" s="1"/>
  <c r="A23" i="21"/>
  <c r="A62" i="21" s="1"/>
  <c r="A24" i="21"/>
  <c r="A63" i="21" s="1"/>
  <c r="A25" i="21"/>
  <c r="A64" i="21" s="1"/>
  <c r="R64" i="21" s="1"/>
  <c r="A26" i="21"/>
  <c r="A65" i="21" s="1"/>
  <c r="A27" i="21"/>
  <c r="A66" i="21" s="1"/>
  <c r="AF66" i="21" s="1"/>
  <c r="A28" i="21"/>
  <c r="A67" i="21" s="1"/>
  <c r="A29" i="21"/>
  <c r="A68" i="21" s="1"/>
  <c r="R68" i="21" s="1"/>
  <c r="A30" i="21"/>
  <c r="A69" i="21" s="1"/>
  <c r="A31" i="21"/>
  <c r="A70" i="21" s="1"/>
  <c r="R70" i="21" s="1"/>
  <c r="A32" i="21"/>
  <c r="A71" i="21" s="1"/>
  <c r="N71" i="21" s="1"/>
  <c r="A33" i="21"/>
  <c r="A72" i="21" s="1"/>
  <c r="A34" i="21"/>
  <c r="A73" i="21" s="1"/>
  <c r="B4" i="21"/>
  <c r="B43" i="21" s="1"/>
  <c r="C4" i="21"/>
  <c r="C43" i="21" s="1"/>
  <c r="F4" i="21"/>
  <c r="F43" i="21" s="1"/>
  <c r="H4" i="21"/>
  <c r="H43" i="21" s="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O34" i="9"/>
  <c r="O34" i="12" s="1"/>
  <c r="N34" i="9"/>
  <c r="H34" i="12"/>
  <c r="G34" i="12"/>
  <c r="E34" i="12"/>
  <c r="D34" i="12"/>
  <c r="B34" i="12"/>
  <c r="A34" i="12"/>
  <c r="A73" i="12" s="1"/>
  <c r="AG73" i="12" s="1"/>
  <c r="O34" i="20"/>
  <c r="H34" i="20"/>
  <c r="G34" i="20"/>
  <c r="E34" i="20"/>
  <c r="D34" i="20"/>
  <c r="B34" i="20"/>
  <c r="A34" i="20"/>
  <c r="A73" i="20" s="1"/>
  <c r="H34" i="10"/>
  <c r="G34" i="10"/>
  <c r="E34" i="10"/>
  <c r="D34" i="10"/>
  <c r="B34" i="10"/>
  <c r="A34" i="10"/>
  <c r="A73" i="10" s="1"/>
  <c r="R73" i="10" s="1"/>
  <c r="H34" i="9"/>
  <c r="G34" i="9"/>
  <c r="E34" i="9"/>
  <c r="D34" i="9"/>
  <c r="B34" i="9"/>
  <c r="A34" i="9"/>
  <c r="A73" i="9" s="1"/>
  <c r="O34" i="29"/>
  <c r="N34" i="29"/>
  <c r="H34" i="29"/>
  <c r="G34" i="29"/>
  <c r="E34" i="29"/>
  <c r="D34" i="29"/>
  <c r="B34" i="29"/>
  <c r="A34" i="29"/>
  <c r="A73" i="29" s="1"/>
  <c r="O34" i="26"/>
  <c r="N34" i="26"/>
  <c r="H34" i="26"/>
  <c r="G34" i="26"/>
  <c r="E34" i="26"/>
  <c r="D34" i="26"/>
  <c r="B34" i="26"/>
  <c r="A34" i="26"/>
  <c r="A73" i="26" s="1"/>
  <c r="O34" i="24"/>
  <c r="N34" i="24"/>
  <c r="H34" i="24"/>
  <c r="G34" i="24"/>
  <c r="E34" i="24"/>
  <c r="D34" i="24"/>
  <c r="B34" i="24"/>
  <c r="A34" i="24"/>
  <c r="A72" i="24" s="1"/>
  <c r="N72" i="24" s="1"/>
  <c r="O34" i="23"/>
  <c r="N34" i="23"/>
  <c r="H34" i="23"/>
  <c r="G34" i="23"/>
  <c r="E34" i="23"/>
  <c r="D34" i="23"/>
  <c r="B34" i="23"/>
  <c r="A34" i="23"/>
  <c r="A73" i="23" s="1"/>
  <c r="A34" i="22"/>
  <c r="A73" i="22" s="1"/>
  <c r="N73" i="22" s="1"/>
  <c r="O34" i="22"/>
  <c r="N34" i="22"/>
  <c r="H34" i="22"/>
  <c r="G34" i="22"/>
  <c r="E34" i="22"/>
  <c r="D34" i="22"/>
  <c r="B34" i="22"/>
  <c r="A33" i="22"/>
  <c r="A72" i="22" s="1"/>
  <c r="R72" i="22" s="1"/>
  <c r="B33" i="22"/>
  <c r="D33" i="22"/>
  <c r="E33" i="22"/>
  <c r="G33" i="22"/>
  <c r="H33" i="22"/>
  <c r="N33" i="22"/>
  <c r="O33" i="22"/>
  <c r="H34" i="21"/>
  <c r="G34" i="21"/>
  <c r="E34" i="21"/>
  <c r="D34" i="21"/>
  <c r="B34" i="21"/>
  <c r="H34" i="28"/>
  <c r="G34" i="28"/>
  <c r="E34" i="28"/>
  <c r="D34" i="28"/>
  <c r="B34" i="28"/>
  <c r="A34" i="28"/>
  <c r="A73" i="28" s="1"/>
  <c r="O73" i="28" s="1"/>
  <c r="H34" i="25"/>
  <c r="G34" i="25"/>
  <c r="E34" i="25"/>
  <c r="D34" i="25"/>
  <c r="B34" i="25"/>
  <c r="A34" i="25"/>
  <c r="A73" i="25" s="1"/>
  <c r="H34" i="7"/>
  <c r="G34" i="7"/>
  <c r="E34" i="7"/>
  <c r="D34" i="7"/>
  <c r="B34" i="7"/>
  <c r="A34" i="7"/>
  <c r="A73" i="7" s="1"/>
  <c r="O73" i="7" s="1"/>
  <c r="AA73" i="7" s="1"/>
  <c r="H34" i="19"/>
  <c r="G34" i="19"/>
  <c r="E34" i="19"/>
  <c r="D34" i="19"/>
  <c r="B34" i="19"/>
  <c r="A34" i="19"/>
  <c r="A73" i="19" s="1"/>
  <c r="AL73" i="19" s="1"/>
  <c r="H34" i="4"/>
  <c r="G34" i="4"/>
  <c r="E34" i="4"/>
  <c r="D34" i="4"/>
  <c r="B34" i="4"/>
  <c r="A34" i="4"/>
  <c r="A73" i="4" s="1"/>
  <c r="A33" i="14" s="1"/>
  <c r="A73" i="1"/>
  <c r="O73" i="1" s="1"/>
  <c r="O73" i="19"/>
  <c r="AB73" i="19" s="1"/>
  <c r="O33" i="29"/>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O3" i="9"/>
  <c r="O3" i="10" s="1"/>
  <c r="N3" i="9"/>
  <c r="O33" i="9"/>
  <c r="N33" i="9"/>
  <c r="N33" i="10" s="1"/>
  <c r="O32" i="9"/>
  <c r="O32" i="12" s="1"/>
  <c r="N32" i="9"/>
  <c r="O31" i="9"/>
  <c r="N31" i="9"/>
  <c r="N31" i="20" s="1"/>
  <c r="O30" i="9"/>
  <c r="O30" i="12" s="1"/>
  <c r="N30" i="9"/>
  <c r="O29" i="9"/>
  <c r="N29" i="9"/>
  <c r="N29" i="12" s="1"/>
  <c r="O28" i="9"/>
  <c r="O28" i="20" s="1"/>
  <c r="N28" i="9"/>
  <c r="O27" i="9"/>
  <c r="N27" i="9"/>
  <c r="N27" i="20" s="1"/>
  <c r="O26" i="9"/>
  <c r="O26" i="10" s="1"/>
  <c r="N26" i="9"/>
  <c r="O25" i="9"/>
  <c r="N25" i="9"/>
  <c r="N25" i="12" s="1"/>
  <c r="O24" i="9"/>
  <c r="O24" i="10" s="1"/>
  <c r="N24" i="9"/>
  <c r="O23" i="9"/>
  <c r="N23" i="9"/>
  <c r="N23" i="10" s="1"/>
  <c r="O22" i="9"/>
  <c r="O22" i="10" s="1"/>
  <c r="N22" i="9"/>
  <c r="O21" i="9"/>
  <c r="N21" i="9"/>
  <c r="N21" i="12" s="1"/>
  <c r="O20" i="9"/>
  <c r="O20" i="10" s="1"/>
  <c r="N20" i="9"/>
  <c r="O19" i="9"/>
  <c r="N19" i="9"/>
  <c r="N19" i="12" s="1"/>
  <c r="O18" i="9"/>
  <c r="O18" i="20" s="1"/>
  <c r="N18" i="9"/>
  <c r="O17" i="9"/>
  <c r="N17" i="9"/>
  <c r="N17" i="12" s="1"/>
  <c r="O16" i="9"/>
  <c r="O16" i="10" s="1"/>
  <c r="N16" i="9"/>
  <c r="O15" i="9"/>
  <c r="N15" i="9"/>
  <c r="N15" i="10" s="1"/>
  <c r="O14" i="9"/>
  <c r="O14" i="20" s="1"/>
  <c r="N14" i="9"/>
  <c r="O13" i="9"/>
  <c r="N13" i="9"/>
  <c r="N13" i="20" s="1"/>
  <c r="O12" i="9"/>
  <c r="O12" i="20" s="1"/>
  <c r="N12" i="9"/>
  <c r="O11" i="9"/>
  <c r="N11" i="9"/>
  <c r="N11" i="20" s="1"/>
  <c r="O10" i="9"/>
  <c r="O10" i="20" s="1"/>
  <c r="N10" i="9"/>
  <c r="O9" i="9"/>
  <c r="N9" i="9"/>
  <c r="N9" i="12" s="1"/>
  <c r="O8" i="9"/>
  <c r="O8" i="10" s="1"/>
  <c r="N8" i="9"/>
  <c r="O7" i="9"/>
  <c r="N7" i="9"/>
  <c r="N7" i="10" s="1"/>
  <c r="O6" i="9"/>
  <c r="O6" i="20" s="1"/>
  <c r="N6" i="9"/>
  <c r="N6" i="12" s="1"/>
  <c r="O5" i="9"/>
  <c r="N5" i="9"/>
  <c r="N5" i="20" s="1"/>
  <c r="O4" i="9"/>
  <c r="O4" i="20" s="1"/>
  <c r="N4" i="9"/>
  <c r="Y42" i="29"/>
  <c r="X42" i="29"/>
  <c r="W42" i="29"/>
  <c r="V42" i="29"/>
  <c r="U42" i="29"/>
  <c r="T42" i="29"/>
  <c r="S42" i="29"/>
  <c r="AG42" i="29" s="1"/>
  <c r="R42" i="29"/>
  <c r="I42" i="29"/>
  <c r="Z42" i="29" s="1"/>
  <c r="Z41" i="29"/>
  <c r="R41" i="29"/>
  <c r="H33" i="29"/>
  <c r="G33" i="29"/>
  <c r="E33" i="29"/>
  <c r="D33" i="29"/>
  <c r="B33" i="29"/>
  <c r="A33" i="29"/>
  <c r="A72" i="29" s="1"/>
  <c r="AF72" i="29" s="1"/>
  <c r="H32" i="29"/>
  <c r="G32" i="29"/>
  <c r="E32" i="29"/>
  <c r="D32" i="29"/>
  <c r="B32" i="29"/>
  <c r="A32" i="29"/>
  <c r="A71" i="29" s="1"/>
  <c r="H31" i="29"/>
  <c r="G31" i="29"/>
  <c r="E31" i="29"/>
  <c r="D31" i="29"/>
  <c r="B31" i="29"/>
  <c r="A31" i="29"/>
  <c r="A70" i="29" s="1"/>
  <c r="H30" i="29"/>
  <c r="G30" i="29"/>
  <c r="E30" i="29"/>
  <c r="D30" i="29"/>
  <c r="B30" i="29"/>
  <c r="A30" i="29"/>
  <c r="A69" i="29" s="1"/>
  <c r="AF69" i="29" s="1"/>
  <c r="H29" i="29"/>
  <c r="G29" i="29"/>
  <c r="E29" i="29"/>
  <c r="D29" i="29"/>
  <c r="B29" i="29"/>
  <c r="A29" i="29"/>
  <c r="A68" i="29" s="1"/>
  <c r="H28" i="29"/>
  <c r="G28" i="29"/>
  <c r="E28" i="29"/>
  <c r="D28" i="29"/>
  <c r="B28" i="29"/>
  <c r="A28" i="29"/>
  <c r="A67" i="29" s="1"/>
  <c r="R67" i="29" s="1"/>
  <c r="H27" i="29"/>
  <c r="G27" i="29"/>
  <c r="E27" i="29"/>
  <c r="D27" i="29"/>
  <c r="B27" i="29"/>
  <c r="A27" i="29"/>
  <c r="A66" i="29" s="1"/>
  <c r="H26" i="29"/>
  <c r="G26" i="29"/>
  <c r="E26" i="29"/>
  <c r="D26" i="29"/>
  <c r="B26" i="29"/>
  <c r="A26" i="29"/>
  <c r="A65" i="29" s="1"/>
  <c r="N65" i="29" s="1"/>
  <c r="H25" i="29"/>
  <c r="G25" i="29"/>
  <c r="E25" i="29"/>
  <c r="D25" i="29"/>
  <c r="B25" i="29"/>
  <c r="A25" i="29"/>
  <c r="A64" i="29" s="1"/>
  <c r="AF64" i="29" s="1"/>
  <c r="H24" i="29"/>
  <c r="G24" i="29"/>
  <c r="E24" i="29"/>
  <c r="D24" i="29"/>
  <c r="B24" i="29"/>
  <c r="A24" i="29"/>
  <c r="A63" i="29" s="1"/>
  <c r="R63" i="29" s="1"/>
  <c r="H23" i="29"/>
  <c r="G23" i="29"/>
  <c r="E23" i="29"/>
  <c r="D23" i="29"/>
  <c r="B23" i="29"/>
  <c r="A23" i="29"/>
  <c r="A62" i="29" s="1"/>
  <c r="H22" i="29"/>
  <c r="G22" i="29"/>
  <c r="E22" i="29"/>
  <c r="D22" i="29"/>
  <c r="B22" i="29"/>
  <c r="A22" i="29"/>
  <c r="A61" i="29" s="1"/>
  <c r="H21" i="29"/>
  <c r="G21" i="29"/>
  <c r="E21" i="29"/>
  <c r="D21" i="29"/>
  <c r="B21" i="29"/>
  <c r="A21" i="29"/>
  <c r="A60" i="29" s="1"/>
  <c r="H20" i="29"/>
  <c r="G20" i="29"/>
  <c r="E20" i="29"/>
  <c r="D20" i="29"/>
  <c r="B20" i="29"/>
  <c r="A20" i="29"/>
  <c r="A59" i="29" s="1"/>
  <c r="N59" i="29" s="1"/>
  <c r="H19" i="29"/>
  <c r="G19" i="29"/>
  <c r="E19" i="29"/>
  <c r="D19" i="29"/>
  <c r="B19" i="29"/>
  <c r="A19" i="29"/>
  <c r="A58" i="29" s="1"/>
  <c r="N58" i="29" s="1"/>
  <c r="H18" i="29"/>
  <c r="G18" i="29"/>
  <c r="E18" i="29"/>
  <c r="D18" i="29"/>
  <c r="B18" i="29"/>
  <c r="A18" i="29"/>
  <c r="A57" i="29" s="1"/>
  <c r="H17" i="29"/>
  <c r="G17" i="29"/>
  <c r="E17" i="29"/>
  <c r="D17" i="29"/>
  <c r="B17" i="29"/>
  <c r="A17" i="29"/>
  <c r="A56" i="29" s="1"/>
  <c r="AF56" i="29" s="1"/>
  <c r="H16" i="29"/>
  <c r="G16" i="29"/>
  <c r="E16" i="29"/>
  <c r="D16" i="29"/>
  <c r="B16" i="29"/>
  <c r="A16" i="29"/>
  <c r="A55" i="29" s="1"/>
  <c r="H15" i="29"/>
  <c r="G15" i="29"/>
  <c r="E15" i="29"/>
  <c r="D15" i="29"/>
  <c r="B15" i="29"/>
  <c r="A15" i="29"/>
  <c r="A54" i="29" s="1"/>
  <c r="R54" i="29" s="1"/>
  <c r="H14" i="29"/>
  <c r="G14" i="29"/>
  <c r="C14" i="29"/>
  <c r="B14" i="29"/>
  <c r="A14" i="29"/>
  <c r="A53" i="29" s="1"/>
  <c r="H13" i="29"/>
  <c r="G13" i="29"/>
  <c r="C13" i="29"/>
  <c r="B13" i="29"/>
  <c r="A13" i="29"/>
  <c r="A52" i="29" s="1"/>
  <c r="H12" i="29"/>
  <c r="F12" i="29"/>
  <c r="C12" i="29"/>
  <c r="B12" i="29"/>
  <c r="A12" i="29"/>
  <c r="A51" i="29" s="1"/>
  <c r="H11" i="29"/>
  <c r="F11" i="29"/>
  <c r="C11" i="29"/>
  <c r="B11" i="29"/>
  <c r="A11" i="29"/>
  <c r="A50" i="29" s="1"/>
  <c r="N50" i="29" s="1"/>
  <c r="H10" i="29"/>
  <c r="F10" i="29"/>
  <c r="C10" i="29"/>
  <c r="B10" i="29"/>
  <c r="A10" i="29"/>
  <c r="A49" i="29" s="1"/>
  <c r="H9" i="29"/>
  <c r="F9" i="29"/>
  <c r="C9" i="29"/>
  <c r="B9" i="29"/>
  <c r="A9" i="29"/>
  <c r="A48" i="29" s="1"/>
  <c r="AF48" i="29" s="1"/>
  <c r="H8" i="29"/>
  <c r="F8" i="29"/>
  <c r="C8" i="29"/>
  <c r="B8" i="29"/>
  <c r="A8" i="29"/>
  <c r="A47" i="29" s="1"/>
  <c r="H7" i="29"/>
  <c r="F7" i="29"/>
  <c r="C7" i="29"/>
  <c r="B7" i="29"/>
  <c r="A7" i="29"/>
  <c r="A46" i="29" s="1"/>
  <c r="AF46" i="29" s="1"/>
  <c r="H6" i="29"/>
  <c r="F6" i="29"/>
  <c r="C6" i="29"/>
  <c r="B6" i="29"/>
  <c r="A6" i="29"/>
  <c r="A45" i="29" s="1"/>
  <c r="R45" i="29" s="1"/>
  <c r="H5" i="29"/>
  <c r="F5" i="29"/>
  <c r="C5" i="29"/>
  <c r="B5" i="29"/>
  <c r="A5" i="29"/>
  <c r="A44" i="29" s="1"/>
  <c r="AF44" i="29" s="1"/>
  <c r="H4" i="29"/>
  <c r="F4" i="29"/>
  <c r="C4" i="29"/>
  <c r="B4" i="29"/>
  <c r="B43" i="29" s="1"/>
  <c r="I43" i="29" s="1"/>
  <c r="A4" i="29"/>
  <c r="A43" i="29" s="1"/>
  <c r="H3" i="29"/>
  <c r="H41" i="29" s="1"/>
  <c r="Y41" i="29" s="1"/>
  <c r="G3" i="29"/>
  <c r="G41" i="29" s="1"/>
  <c r="F3" i="29"/>
  <c r="F41" i="29" s="1"/>
  <c r="AK41" i="29" s="1"/>
  <c r="E3" i="29"/>
  <c r="E41" i="29" s="1"/>
  <c r="V41" i="29" s="1"/>
  <c r="D3" i="29"/>
  <c r="D41" i="29" s="1"/>
  <c r="C3" i="29"/>
  <c r="C41" i="29" s="1"/>
  <c r="B3" i="29"/>
  <c r="B41" i="29" s="1"/>
  <c r="A3" i="29"/>
  <c r="H2" i="29"/>
  <c r="H40" i="29" s="1"/>
  <c r="G2" i="29"/>
  <c r="G40" i="29" s="1"/>
  <c r="F2" i="29"/>
  <c r="F40" i="29" s="1"/>
  <c r="AK40" i="29" s="1"/>
  <c r="E2" i="29"/>
  <c r="E40" i="29" s="1"/>
  <c r="D2" i="29"/>
  <c r="D40" i="29" s="1"/>
  <c r="C2" i="29"/>
  <c r="C40" i="29" s="1"/>
  <c r="B2" i="29"/>
  <c r="B40" i="29" s="1"/>
  <c r="H33" i="28"/>
  <c r="G33" i="28"/>
  <c r="E33" i="28"/>
  <c r="D33" i="28"/>
  <c r="B33" i="28"/>
  <c r="A33" i="28"/>
  <c r="A72" i="28" s="1"/>
  <c r="O72" i="28" s="1"/>
  <c r="H32" i="28"/>
  <c r="G32" i="28"/>
  <c r="E32" i="28"/>
  <c r="D32" i="28"/>
  <c r="B32" i="28"/>
  <c r="A32" i="28"/>
  <c r="A71" i="28" s="1"/>
  <c r="O71" i="28" s="1"/>
  <c r="H31" i="28"/>
  <c r="G31" i="28"/>
  <c r="E31" i="28"/>
  <c r="D31" i="28"/>
  <c r="B31" i="28"/>
  <c r="A31" i="28"/>
  <c r="A70" i="28" s="1"/>
  <c r="O70" i="28" s="1"/>
  <c r="H30" i="28"/>
  <c r="G30" i="28"/>
  <c r="E30" i="28"/>
  <c r="D30" i="28"/>
  <c r="B30" i="28"/>
  <c r="A30" i="28"/>
  <c r="A69" i="28" s="1"/>
  <c r="O69" i="28" s="1"/>
  <c r="H29" i="28"/>
  <c r="G29" i="28"/>
  <c r="E29" i="28"/>
  <c r="D29" i="28"/>
  <c r="B29" i="28"/>
  <c r="A29" i="28"/>
  <c r="A68" i="28" s="1"/>
  <c r="O68" i="28" s="1"/>
  <c r="H28" i="28"/>
  <c r="G28" i="28"/>
  <c r="E28" i="28"/>
  <c r="D28" i="28"/>
  <c r="B28" i="28"/>
  <c r="A28" i="28"/>
  <c r="A67" i="28" s="1"/>
  <c r="O67" i="28" s="1"/>
  <c r="H27" i="28"/>
  <c r="G27" i="28"/>
  <c r="E27" i="28"/>
  <c r="D27" i="28"/>
  <c r="B27" i="28"/>
  <c r="A27" i="28"/>
  <c r="A66" i="28" s="1"/>
  <c r="O66" i="28" s="1"/>
  <c r="H26" i="28"/>
  <c r="G26" i="28"/>
  <c r="E26" i="28"/>
  <c r="D26" i="28"/>
  <c r="B26" i="28"/>
  <c r="A26" i="28"/>
  <c r="A65" i="28" s="1"/>
  <c r="O65" i="28" s="1"/>
  <c r="H25" i="28"/>
  <c r="G25" i="28"/>
  <c r="E25" i="28"/>
  <c r="D25" i="28"/>
  <c r="B25" i="28"/>
  <c r="A25" i="28"/>
  <c r="A64" i="28" s="1"/>
  <c r="O64" i="28" s="1"/>
  <c r="H24" i="28"/>
  <c r="G24" i="28"/>
  <c r="E24" i="28"/>
  <c r="D24" i="28"/>
  <c r="B24" i="28"/>
  <c r="A24" i="28"/>
  <c r="A63" i="28" s="1"/>
  <c r="O63" i="28" s="1"/>
  <c r="H23" i="28"/>
  <c r="G23" i="28"/>
  <c r="E23" i="28"/>
  <c r="D23" i="28"/>
  <c r="B23" i="28"/>
  <c r="A23" i="28"/>
  <c r="A62" i="28" s="1"/>
  <c r="O62" i="28" s="1"/>
  <c r="H22" i="28"/>
  <c r="G22" i="28"/>
  <c r="E22" i="28"/>
  <c r="D22" i="28"/>
  <c r="B22" i="28"/>
  <c r="A22" i="28"/>
  <c r="A61" i="28" s="1"/>
  <c r="O61" i="28" s="1"/>
  <c r="H21" i="28"/>
  <c r="G21" i="28"/>
  <c r="E21" i="28"/>
  <c r="D21" i="28"/>
  <c r="B21" i="28"/>
  <c r="A21" i="28"/>
  <c r="A60" i="28" s="1"/>
  <c r="O60" i="28" s="1"/>
  <c r="H20" i="28"/>
  <c r="G20" i="28"/>
  <c r="E20" i="28"/>
  <c r="D20" i="28"/>
  <c r="B20" i="28"/>
  <c r="A20" i="28"/>
  <c r="A59" i="28" s="1"/>
  <c r="O59" i="28" s="1"/>
  <c r="H19" i="28"/>
  <c r="G19" i="28"/>
  <c r="E19" i="28"/>
  <c r="D19" i="28"/>
  <c r="B19" i="28"/>
  <c r="A19" i="28"/>
  <c r="A58" i="28" s="1"/>
  <c r="O58" i="28" s="1"/>
  <c r="H18" i="28"/>
  <c r="G18" i="28"/>
  <c r="E18" i="28"/>
  <c r="D18" i="28"/>
  <c r="B18" i="28"/>
  <c r="A18" i="28"/>
  <c r="A57" i="28" s="1"/>
  <c r="O57" i="28" s="1"/>
  <c r="H17" i="28"/>
  <c r="G17" i="28"/>
  <c r="E17" i="28"/>
  <c r="D17" i="28"/>
  <c r="B17" i="28"/>
  <c r="A17" i="28"/>
  <c r="A56" i="28" s="1"/>
  <c r="O56" i="28" s="1"/>
  <c r="H16" i="28"/>
  <c r="G16" i="28"/>
  <c r="E16" i="28"/>
  <c r="D16" i="28"/>
  <c r="B16" i="28"/>
  <c r="A16" i="28"/>
  <c r="A55" i="28" s="1"/>
  <c r="O55" i="28" s="1"/>
  <c r="H15" i="28"/>
  <c r="G15" i="28"/>
  <c r="E15" i="28"/>
  <c r="D15" i="28"/>
  <c r="B15" i="28"/>
  <c r="A15" i="28"/>
  <c r="A54" i="28" s="1"/>
  <c r="O54" i="28" s="1"/>
  <c r="H14" i="28"/>
  <c r="G14" i="28"/>
  <c r="C14" i="28"/>
  <c r="B14" i="28"/>
  <c r="A14" i="28"/>
  <c r="A53" i="28" s="1"/>
  <c r="O53" i="28" s="1"/>
  <c r="H13" i="28"/>
  <c r="G13" i="28"/>
  <c r="C13" i="28"/>
  <c r="B13" i="28"/>
  <c r="A13" i="28"/>
  <c r="A52" i="28" s="1"/>
  <c r="O52" i="28" s="1"/>
  <c r="H12" i="28"/>
  <c r="F12" i="28"/>
  <c r="C12" i="28"/>
  <c r="B12" i="28"/>
  <c r="A12" i="28"/>
  <c r="A51" i="28" s="1"/>
  <c r="O51" i="28" s="1"/>
  <c r="H11" i="28"/>
  <c r="F11" i="28"/>
  <c r="C11" i="28"/>
  <c r="B11" i="28"/>
  <c r="A11" i="28"/>
  <c r="A50" i="28" s="1"/>
  <c r="O50" i="28" s="1"/>
  <c r="H10" i="28"/>
  <c r="F10" i="28"/>
  <c r="C10" i="28"/>
  <c r="B10" i="28"/>
  <c r="A10" i="28"/>
  <c r="A49" i="28" s="1"/>
  <c r="O49" i="28" s="1"/>
  <c r="H9" i="28"/>
  <c r="F9" i="28"/>
  <c r="C9" i="28"/>
  <c r="B9" i="28"/>
  <c r="A9" i="28"/>
  <c r="A48" i="28" s="1"/>
  <c r="O48" i="28" s="1"/>
  <c r="H8" i="28"/>
  <c r="F8" i="28"/>
  <c r="C8" i="28"/>
  <c r="B8" i="28"/>
  <c r="A8" i="28"/>
  <c r="A47" i="28" s="1"/>
  <c r="O47" i="28" s="1"/>
  <c r="H7" i="28"/>
  <c r="F7" i="28"/>
  <c r="C7" i="28"/>
  <c r="B7" i="28"/>
  <c r="A7" i="28"/>
  <c r="A46" i="28" s="1"/>
  <c r="O46" i="28" s="1"/>
  <c r="H6" i="28"/>
  <c r="F6" i="28"/>
  <c r="C6" i="28"/>
  <c r="B6" i="28"/>
  <c r="A6" i="28"/>
  <c r="A45" i="28" s="1"/>
  <c r="O45" i="28" s="1"/>
  <c r="H5" i="28"/>
  <c r="F5" i="28"/>
  <c r="C5" i="28"/>
  <c r="B5" i="28"/>
  <c r="A5" i="28"/>
  <c r="A44" i="28" s="1"/>
  <c r="O44" i="28" s="1"/>
  <c r="H4" i="28"/>
  <c r="H43" i="28" s="1"/>
  <c r="F4" i="28"/>
  <c r="F43" i="28" s="1"/>
  <c r="C4" i="28"/>
  <c r="C43" i="28" s="1"/>
  <c r="B4" i="28"/>
  <c r="B43" i="28" s="1"/>
  <c r="A4" i="28"/>
  <c r="A43" i="28" s="1"/>
  <c r="O43" i="28" s="1"/>
  <c r="H3" i="28"/>
  <c r="H41" i="28" s="1"/>
  <c r="V41" i="28" s="1"/>
  <c r="G3" i="28"/>
  <c r="G41" i="28" s="1"/>
  <c r="U41" i="28" s="1"/>
  <c r="F3" i="28"/>
  <c r="F41" i="28" s="1"/>
  <c r="T41" i="28" s="1"/>
  <c r="E3" i="28"/>
  <c r="E41" i="28" s="1"/>
  <c r="S41" i="28" s="1"/>
  <c r="D3" i="28"/>
  <c r="D41" i="28" s="1"/>
  <c r="R41" i="28" s="1"/>
  <c r="C3" i="28"/>
  <c r="C41" i="28" s="1"/>
  <c r="Q41" i="28" s="1"/>
  <c r="B3" i="28"/>
  <c r="B41" i="28" s="1"/>
  <c r="P41" i="28" s="1"/>
  <c r="A3" i="28"/>
  <c r="H2" i="28"/>
  <c r="H40" i="28" s="1"/>
  <c r="V40" i="28" s="1"/>
  <c r="G2" i="28"/>
  <c r="G40" i="28" s="1"/>
  <c r="U40" i="28" s="1"/>
  <c r="F2" i="28"/>
  <c r="F40" i="28" s="1"/>
  <c r="T40" i="28" s="1"/>
  <c r="E2" i="28"/>
  <c r="E40" i="28" s="1"/>
  <c r="S40" i="28" s="1"/>
  <c r="D2" i="28"/>
  <c r="D40" i="28" s="1"/>
  <c r="R40" i="28" s="1"/>
  <c r="C2" i="28"/>
  <c r="C40" i="28" s="1"/>
  <c r="Q40" i="28" s="1"/>
  <c r="B2" i="28"/>
  <c r="B40" i="28" s="1"/>
  <c r="P40" i="28" s="1"/>
  <c r="I42" i="28"/>
  <c r="P42" i="28" s="1"/>
  <c r="AF50" i="29"/>
  <c r="N56" i="29"/>
  <c r="R72" i="29"/>
  <c r="Q42" i="28"/>
  <c r="V42" i="28"/>
  <c r="AY42" i="26"/>
  <c r="BI42" i="26" s="1"/>
  <c r="AW42" i="26"/>
  <c r="BG42" i="26" s="1"/>
  <c r="AV42" i="26"/>
  <c r="BF42" i="26" s="1"/>
  <c r="AS42" i="26"/>
  <c r="BC42" i="26" s="1"/>
  <c r="Y42" i="26"/>
  <c r="X42" i="26"/>
  <c r="W42" i="26"/>
  <c r="V42" i="26"/>
  <c r="U42" i="26"/>
  <c r="T42" i="26"/>
  <c r="S42" i="26"/>
  <c r="R42" i="26"/>
  <c r="I42" i="26"/>
  <c r="Z42" i="26" s="1"/>
  <c r="BA41" i="26"/>
  <c r="BK41" i="26" s="1"/>
  <c r="AS41" i="26"/>
  <c r="Z41" i="26"/>
  <c r="R41" i="26"/>
  <c r="O33" i="26"/>
  <c r="N33" i="26"/>
  <c r="H33" i="26"/>
  <c r="G33" i="26"/>
  <c r="E33" i="26"/>
  <c r="D33" i="26"/>
  <c r="B33" i="26"/>
  <c r="A33" i="26"/>
  <c r="A72" i="26" s="1"/>
  <c r="O32" i="26"/>
  <c r="N32" i="26"/>
  <c r="H32" i="26"/>
  <c r="G32" i="26"/>
  <c r="E32" i="26"/>
  <c r="D32" i="26"/>
  <c r="B32" i="26"/>
  <c r="A32" i="26"/>
  <c r="A71" i="26" s="1"/>
  <c r="O31" i="26"/>
  <c r="N31" i="26"/>
  <c r="H31" i="26"/>
  <c r="G31" i="26"/>
  <c r="E31" i="26"/>
  <c r="D31" i="26"/>
  <c r="B31" i="26"/>
  <c r="A31" i="26"/>
  <c r="A70" i="26" s="1"/>
  <c r="AG70" i="26" s="1"/>
  <c r="AS70" i="26" s="1"/>
  <c r="BC70" i="26" s="1"/>
  <c r="O30" i="26"/>
  <c r="N30" i="26"/>
  <c r="H30" i="26"/>
  <c r="G30" i="26"/>
  <c r="E30" i="26"/>
  <c r="D30" i="26"/>
  <c r="B30" i="26"/>
  <c r="A30" i="26"/>
  <c r="A69" i="26" s="1"/>
  <c r="AG69" i="26" s="1"/>
  <c r="AS69" i="26" s="1"/>
  <c r="BC69" i="26" s="1"/>
  <c r="O29" i="26"/>
  <c r="N29" i="26"/>
  <c r="H29" i="26"/>
  <c r="G29" i="26"/>
  <c r="E29" i="26"/>
  <c r="D29" i="26"/>
  <c r="B29" i="26"/>
  <c r="A29" i="26"/>
  <c r="A68" i="26" s="1"/>
  <c r="N68" i="26" s="1"/>
  <c r="O28" i="26"/>
  <c r="N28" i="26"/>
  <c r="H28" i="26"/>
  <c r="G28" i="26"/>
  <c r="E28" i="26"/>
  <c r="D28" i="26"/>
  <c r="B28" i="26"/>
  <c r="A28" i="26"/>
  <c r="A67" i="26" s="1"/>
  <c r="O27" i="26"/>
  <c r="N27" i="26"/>
  <c r="H27" i="26"/>
  <c r="G27" i="26"/>
  <c r="E27" i="26"/>
  <c r="D27" i="26"/>
  <c r="B27" i="26"/>
  <c r="A27" i="26"/>
  <c r="A66" i="26" s="1"/>
  <c r="O26" i="26"/>
  <c r="N26" i="26"/>
  <c r="H26" i="26"/>
  <c r="G26" i="26"/>
  <c r="E26" i="26"/>
  <c r="D26" i="26"/>
  <c r="B26" i="26"/>
  <c r="A26" i="26"/>
  <c r="A65" i="26" s="1"/>
  <c r="AG65" i="26" s="1"/>
  <c r="AS65" i="26" s="1"/>
  <c r="BC65" i="26" s="1"/>
  <c r="O25" i="26"/>
  <c r="N25" i="26"/>
  <c r="H25" i="26"/>
  <c r="G25" i="26"/>
  <c r="E25" i="26"/>
  <c r="D25" i="26"/>
  <c r="B25" i="26"/>
  <c r="A25" i="26"/>
  <c r="A64" i="26" s="1"/>
  <c r="O24" i="26"/>
  <c r="N24" i="26"/>
  <c r="H24" i="26"/>
  <c r="G24" i="26"/>
  <c r="E24" i="26"/>
  <c r="D24" i="26"/>
  <c r="B24" i="26"/>
  <c r="A24" i="26"/>
  <c r="A63" i="26" s="1"/>
  <c r="O23" i="26"/>
  <c r="N23" i="26"/>
  <c r="H23" i="26"/>
  <c r="G23" i="26"/>
  <c r="E23" i="26"/>
  <c r="D23" i="26"/>
  <c r="B23" i="26"/>
  <c r="A23" i="26"/>
  <c r="A62" i="26" s="1"/>
  <c r="N62" i="26" s="1"/>
  <c r="O22" i="26"/>
  <c r="N22" i="26"/>
  <c r="H22" i="26"/>
  <c r="G22" i="26"/>
  <c r="E22" i="26"/>
  <c r="D22" i="26"/>
  <c r="B22" i="26"/>
  <c r="A22" i="26"/>
  <c r="A61" i="26" s="1"/>
  <c r="N61" i="26" s="1"/>
  <c r="O21" i="26"/>
  <c r="N21" i="26"/>
  <c r="H21" i="26"/>
  <c r="G21" i="26"/>
  <c r="E21" i="26"/>
  <c r="D21" i="26"/>
  <c r="B21" i="26"/>
  <c r="A21" i="26"/>
  <c r="A60" i="26" s="1"/>
  <c r="N60" i="26" s="1"/>
  <c r="O20" i="26"/>
  <c r="N20" i="26"/>
  <c r="H20" i="26"/>
  <c r="G20" i="26"/>
  <c r="E20" i="26"/>
  <c r="D20" i="26"/>
  <c r="B20" i="26"/>
  <c r="A20" i="26"/>
  <c r="A59" i="26" s="1"/>
  <c r="O19" i="26"/>
  <c r="N19" i="26"/>
  <c r="H19" i="26"/>
  <c r="G19" i="26"/>
  <c r="E19" i="26"/>
  <c r="D19" i="26"/>
  <c r="B19" i="26"/>
  <c r="A19" i="26"/>
  <c r="A58" i="26" s="1"/>
  <c r="O18" i="26"/>
  <c r="N18" i="26"/>
  <c r="H18" i="26"/>
  <c r="G18" i="26"/>
  <c r="E18" i="26"/>
  <c r="D18" i="26"/>
  <c r="B18" i="26"/>
  <c r="A18" i="26"/>
  <c r="A57" i="26" s="1"/>
  <c r="N57" i="26" s="1"/>
  <c r="O17" i="26"/>
  <c r="N17" i="26"/>
  <c r="H17" i="26"/>
  <c r="G17" i="26"/>
  <c r="E17" i="26"/>
  <c r="D17" i="26"/>
  <c r="B17" i="26"/>
  <c r="A17" i="26"/>
  <c r="A56" i="26" s="1"/>
  <c r="O16" i="26"/>
  <c r="N16" i="26"/>
  <c r="H16" i="26"/>
  <c r="G16" i="26"/>
  <c r="E16" i="26"/>
  <c r="D16" i="26"/>
  <c r="B16" i="26"/>
  <c r="A16" i="26"/>
  <c r="A55" i="26" s="1"/>
  <c r="O15" i="26"/>
  <c r="N15" i="26"/>
  <c r="H15" i="26"/>
  <c r="G15" i="26"/>
  <c r="E15" i="26"/>
  <c r="D15" i="26"/>
  <c r="B15" i="26"/>
  <c r="A15" i="26"/>
  <c r="A54" i="26" s="1"/>
  <c r="O14" i="26"/>
  <c r="N14" i="26"/>
  <c r="H14" i="26"/>
  <c r="G14" i="26"/>
  <c r="C14" i="26"/>
  <c r="B14" i="26"/>
  <c r="A14" i="26"/>
  <c r="A53" i="26" s="1"/>
  <c r="O13" i="26"/>
  <c r="N13" i="26"/>
  <c r="H13" i="26"/>
  <c r="G13" i="26"/>
  <c r="C13" i="26"/>
  <c r="B13" i="26"/>
  <c r="A13" i="26"/>
  <c r="A52" i="26" s="1"/>
  <c r="O12" i="26"/>
  <c r="N12" i="26"/>
  <c r="H12" i="26"/>
  <c r="F12" i="26"/>
  <c r="C12" i="26"/>
  <c r="B12" i="26"/>
  <c r="A12" i="26"/>
  <c r="A51" i="26" s="1"/>
  <c r="O11" i="26"/>
  <c r="N11" i="26"/>
  <c r="H11" i="26"/>
  <c r="F11" i="26"/>
  <c r="C11" i="26"/>
  <c r="B11" i="26"/>
  <c r="A11" i="26"/>
  <c r="A50" i="26" s="1"/>
  <c r="O10" i="26"/>
  <c r="N10" i="26"/>
  <c r="H10" i="26"/>
  <c r="F10" i="26"/>
  <c r="C10" i="26"/>
  <c r="B10" i="26"/>
  <c r="A10" i="26"/>
  <c r="A49" i="26" s="1"/>
  <c r="O9" i="26"/>
  <c r="N9" i="26"/>
  <c r="H9" i="26"/>
  <c r="F9" i="26"/>
  <c r="C9" i="26"/>
  <c r="B9" i="26"/>
  <c r="A9" i="26"/>
  <c r="A48" i="26" s="1"/>
  <c r="O8" i="26"/>
  <c r="N8" i="26"/>
  <c r="H8" i="26"/>
  <c r="F8" i="26"/>
  <c r="C8" i="26"/>
  <c r="B8" i="26"/>
  <c r="A8" i="26"/>
  <c r="A47" i="26" s="1"/>
  <c r="O7" i="26"/>
  <c r="N7" i="26"/>
  <c r="H7" i="26"/>
  <c r="F7" i="26"/>
  <c r="C7" i="26"/>
  <c r="B7" i="26"/>
  <c r="A7" i="26"/>
  <c r="A46" i="26" s="1"/>
  <c r="O6" i="26"/>
  <c r="N6" i="26"/>
  <c r="H6" i="26"/>
  <c r="F6" i="26"/>
  <c r="C6" i="26"/>
  <c r="B6" i="26"/>
  <c r="A6" i="26"/>
  <c r="A45" i="26" s="1"/>
  <c r="O5" i="26"/>
  <c r="N5" i="26"/>
  <c r="H5" i="26"/>
  <c r="F5" i="26"/>
  <c r="C5" i="26"/>
  <c r="B5" i="26"/>
  <c r="A5" i="26"/>
  <c r="A44" i="26" s="1"/>
  <c r="O4" i="26"/>
  <c r="N4" i="26"/>
  <c r="H4" i="26"/>
  <c r="H43" i="26" s="1"/>
  <c r="F4" i="26"/>
  <c r="C4" i="26"/>
  <c r="B4" i="26"/>
  <c r="B43" i="26" s="1"/>
  <c r="A4" i="26"/>
  <c r="A43" i="26" s="1"/>
  <c r="AG43" i="26" s="1"/>
  <c r="AS43" i="26" s="1"/>
  <c r="BC43" i="26" s="1"/>
  <c r="O3" i="26"/>
  <c r="N3" i="26"/>
  <c r="H3" i="26"/>
  <c r="H41" i="26" s="1"/>
  <c r="G3" i="26"/>
  <c r="G41" i="26" s="1"/>
  <c r="F3" i="26"/>
  <c r="F41" i="26" s="1"/>
  <c r="E3" i="26"/>
  <c r="E41" i="26" s="1"/>
  <c r="D3" i="26"/>
  <c r="D41" i="26" s="1"/>
  <c r="C3" i="26"/>
  <c r="C41" i="26" s="1"/>
  <c r="B3" i="26"/>
  <c r="B41" i="26" s="1"/>
  <c r="A3" i="26"/>
  <c r="H2" i="26"/>
  <c r="H40" i="26" s="1"/>
  <c r="G2" i="26"/>
  <c r="G40" i="26" s="1"/>
  <c r="F2" i="26"/>
  <c r="F40" i="26" s="1"/>
  <c r="E2" i="26"/>
  <c r="E40" i="26" s="1"/>
  <c r="D2" i="26"/>
  <c r="D40" i="26" s="1"/>
  <c r="U40" i="26" s="1"/>
  <c r="C2" i="26"/>
  <c r="C40" i="26" s="1"/>
  <c r="T40" i="26" s="1"/>
  <c r="B2" i="26"/>
  <c r="B40" i="26" s="1"/>
  <c r="AH42" i="25"/>
  <c r="AR42" i="25" s="1"/>
  <c r="AB42" i="25"/>
  <c r="AL42" i="25" s="1"/>
  <c r="AF42" i="25"/>
  <c r="AP42" i="25" s="1"/>
  <c r="AE42" i="25"/>
  <c r="AO42" i="25" s="1"/>
  <c r="AJ41" i="25"/>
  <c r="AT41" i="25" s="1"/>
  <c r="AB41" i="25"/>
  <c r="H33" i="25"/>
  <c r="G33" i="25"/>
  <c r="E33" i="25"/>
  <c r="D33" i="25"/>
  <c r="B33" i="25"/>
  <c r="A33" i="25"/>
  <c r="A72" i="25" s="1"/>
  <c r="H32" i="25"/>
  <c r="G32" i="25"/>
  <c r="E32" i="25"/>
  <c r="D32" i="25"/>
  <c r="B32" i="25"/>
  <c r="A32" i="25"/>
  <c r="A71" i="25" s="1"/>
  <c r="O71" i="25" s="1"/>
  <c r="AB71" i="25" s="1"/>
  <c r="H31" i="25"/>
  <c r="G31" i="25"/>
  <c r="E31" i="25"/>
  <c r="D31" i="25"/>
  <c r="B31" i="25"/>
  <c r="A31" i="25"/>
  <c r="A70" i="25" s="1"/>
  <c r="H30" i="25"/>
  <c r="G30" i="25"/>
  <c r="E30" i="25"/>
  <c r="D30" i="25"/>
  <c r="B30" i="25"/>
  <c r="A30" i="25"/>
  <c r="A69" i="25" s="1"/>
  <c r="H29" i="25"/>
  <c r="G29" i="25"/>
  <c r="E29" i="25"/>
  <c r="D29" i="25"/>
  <c r="B29" i="25"/>
  <c r="A29" i="25"/>
  <c r="A68" i="25" s="1"/>
  <c r="O68" i="25" s="1"/>
  <c r="AB68" i="25" s="1"/>
  <c r="H28" i="25"/>
  <c r="G28" i="25"/>
  <c r="E28" i="25"/>
  <c r="D28" i="25"/>
  <c r="B28" i="25"/>
  <c r="A28" i="25"/>
  <c r="A67" i="25" s="1"/>
  <c r="H27" i="25"/>
  <c r="G27" i="25"/>
  <c r="E27" i="25"/>
  <c r="D27" i="25"/>
  <c r="B27" i="25"/>
  <c r="A27" i="25"/>
  <c r="A66" i="25" s="1"/>
  <c r="H26" i="25"/>
  <c r="G26" i="25"/>
  <c r="E26" i="25"/>
  <c r="D26" i="25"/>
  <c r="B26" i="25"/>
  <c r="A26" i="25"/>
  <c r="A65" i="25" s="1"/>
  <c r="H25" i="25"/>
  <c r="G25" i="25"/>
  <c r="E25" i="25"/>
  <c r="D25" i="25"/>
  <c r="B25" i="25"/>
  <c r="A25" i="25"/>
  <c r="A64" i="25" s="1"/>
  <c r="H24" i="25"/>
  <c r="G24" i="25"/>
  <c r="E24" i="25"/>
  <c r="D24" i="25"/>
  <c r="B24" i="25"/>
  <c r="A24" i="25"/>
  <c r="A63" i="25" s="1"/>
  <c r="H23" i="25"/>
  <c r="G23" i="25"/>
  <c r="E23" i="25"/>
  <c r="D23" i="25"/>
  <c r="B23" i="25"/>
  <c r="A23" i="25"/>
  <c r="A62" i="25" s="1"/>
  <c r="H22" i="25"/>
  <c r="G22" i="25"/>
  <c r="E22" i="25"/>
  <c r="D22" i="25"/>
  <c r="B22" i="25"/>
  <c r="A22" i="25"/>
  <c r="A61" i="25" s="1"/>
  <c r="H21" i="25"/>
  <c r="G21" i="25"/>
  <c r="E21" i="25"/>
  <c r="D21" i="25"/>
  <c r="B21" i="25"/>
  <c r="A21" i="25"/>
  <c r="A60" i="25" s="1"/>
  <c r="AL60" i="25" s="1"/>
  <c r="H20" i="25"/>
  <c r="G20" i="25"/>
  <c r="E20" i="25"/>
  <c r="D20" i="25"/>
  <c r="B20" i="25"/>
  <c r="A20" i="25"/>
  <c r="A59" i="25" s="1"/>
  <c r="AL59" i="25" s="1"/>
  <c r="H19" i="25"/>
  <c r="G19" i="25"/>
  <c r="E19" i="25"/>
  <c r="D19" i="25"/>
  <c r="B19" i="25"/>
  <c r="A19" i="25"/>
  <c r="A58" i="25" s="1"/>
  <c r="H18" i="25"/>
  <c r="G18" i="25"/>
  <c r="E18" i="25"/>
  <c r="D18" i="25"/>
  <c r="B18" i="25"/>
  <c r="A18" i="25"/>
  <c r="A57" i="25" s="1"/>
  <c r="AL57" i="25" s="1"/>
  <c r="H17" i="25"/>
  <c r="G17" i="25"/>
  <c r="E17" i="25"/>
  <c r="D17" i="25"/>
  <c r="B17" i="25"/>
  <c r="A17" i="25"/>
  <c r="A56" i="25" s="1"/>
  <c r="AL56" i="25" s="1"/>
  <c r="H16" i="25"/>
  <c r="G16" i="25"/>
  <c r="E16" i="25"/>
  <c r="D16" i="25"/>
  <c r="B16" i="25"/>
  <c r="A16" i="25"/>
  <c r="A55" i="25" s="1"/>
  <c r="H15" i="25"/>
  <c r="G15" i="25"/>
  <c r="E15" i="25"/>
  <c r="D15" i="25"/>
  <c r="B15" i="25"/>
  <c r="A15" i="25"/>
  <c r="A54" i="25" s="1"/>
  <c r="H14" i="25"/>
  <c r="G14" i="25"/>
  <c r="G53" i="25" s="1"/>
  <c r="C14" i="25"/>
  <c r="B14" i="25"/>
  <c r="A14" i="25"/>
  <c r="A53" i="25" s="1"/>
  <c r="H13" i="25"/>
  <c r="G13" i="25"/>
  <c r="C13" i="25"/>
  <c r="B13" i="25"/>
  <c r="A13" i="25"/>
  <c r="A52" i="25" s="1"/>
  <c r="H12" i="25"/>
  <c r="F12" i="25"/>
  <c r="C12" i="25"/>
  <c r="B12" i="25"/>
  <c r="A12" i="25"/>
  <c r="A51" i="25" s="1"/>
  <c r="H11" i="25"/>
  <c r="F11" i="25"/>
  <c r="C11" i="25"/>
  <c r="B11" i="25"/>
  <c r="A11" i="25"/>
  <c r="A50" i="25" s="1"/>
  <c r="AL50" i="25" s="1"/>
  <c r="H10" i="25"/>
  <c r="F10" i="25"/>
  <c r="C10" i="25"/>
  <c r="B10" i="25"/>
  <c r="A10" i="25"/>
  <c r="A49" i="25" s="1"/>
  <c r="AL49" i="25" s="1"/>
  <c r="H9" i="25"/>
  <c r="F9" i="25"/>
  <c r="C9" i="25"/>
  <c r="B9" i="25"/>
  <c r="A9" i="25"/>
  <c r="A48" i="25" s="1"/>
  <c r="H8" i="25"/>
  <c r="F8" i="25"/>
  <c r="C8" i="25"/>
  <c r="B8" i="25"/>
  <c r="A8" i="25"/>
  <c r="A47" i="25" s="1"/>
  <c r="H7" i="25"/>
  <c r="F7" i="25"/>
  <c r="C7" i="25"/>
  <c r="B7" i="25"/>
  <c r="A7" i="25"/>
  <c r="A46" i="25" s="1"/>
  <c r="H6" i="25"/>
  <c r="F6" i="25"/>
  <c r="C6" i="25"/>
  <c r="B6" i="25"/>
  <c r="A6" i="25"/>
  <c r="A45" i="25" s="1"/>
  <c r="H5" i="25"/>
  <c r="F5" i="25"/>
  <c r="C5" i="25"/>
  <c r="B5" i="25"/>
  <c r="A5" i="25"/>
  <c r="A44" i="25" s="1"/>
  <c r="H4" i="25"/>
  <c r="H43" i="25" s="1"/>
  <c r="F4" i="25"/>
  <c r="F43" i="25" s="1"/>
  <c r="C4" i="25"/>
  <c r="C43" i="25" s="1"/>
  <c r="B4" i="25"/>
  <c r="B43" i="25" s="1"/>
  <c r="A4" i="25"/>
  <c r="A43" i="25" s="1"/>
  <c r="AL43" i="25" s="1"/>
  <c r="H3" i="25"/>
  <c r="H41" i="25" s="1"/>
  <c r="V41" i="25" s="1"/>
  <c r="AI41" i="25" s="1"/>
  <c r="AS41" i="25" s="1"/>
  <c r="G3" i="25"/>
  <c r="G41" i="25" s="1"/>
  <c r="U41" i="25" s="1"/>
  <c r="AH41" i="25" s="1"/>
  <c r="AR41" i="25" s="1"/>
  <c r="F3" i="25"/>
  <c r="F41" i="25" s="1"/>
  <c r="T41" i="25" s="1"/>
  <c r="AG41" i="25" s="1"/>
  <c r="AQ41" i="25" s="1"/>
  <c r="E3" i="25"/>
  <c r="E41" i="25" s="1"/>
  <c r="S41" i="25" s="1"/>
  <c r="AF41" i="25" s="1"/>
  <c r="AP41" i="25" s="1"/>
  <c r="D3" i="25"/>
  <c r="D41" i="25" s="1"/>
  <c r="R41" i="25" s="1"/>
  <c r="AE41" i="25" s="1"/>
  <c r="AO41" i="25" s="1"/>
  <c r="C3" i="25"/>
  <c r="C41" i="25" s="1"/>
  <c r="Q41" i="25" s="1"/>
  <c r="AD41" i="25" s="1"/>
  <c r="AN41" i="25" s="1"/>
  <c r="B3" i="25"/>
  <c r="B41" i="25" s="1"/>
  <c r="P41" i="25" s="1"/>
  <c r="AC41" i="25" s="1"/>
  <c r="AM41" i="25" s="1"/>
  <c r="A3" i="25"/>
  <c r="H2" i="25"/>
  <c r="H40" i="25" s="1"/>
  <c r="V40" i="25" s="1"/>
  <c r="AI40" i="25" s="1"/>
  <c r="AS40" i="25" s="1"/>
  <c r="G2" i="25"/>
  <c r="G40" i="25" s="1"/>
  <c r="U40" i="25" s="1"/>
  <c r="AH40" i="25" s="1"/>
  <c r="AR40" i="25" s="1"/>
  <c r="F2" i="25"/>
  <c r="F40" i="25" s="1"/>
  <c r="T40" i="25" s="1"/>
  <c r="AG40" i="25" s="1"/>
  <c r="AQ40" i="25" s="1"/>
  <c r="E2" i="25"/>
  <c r="E40" i="25" s="1"/>
  <c r="S40" i="25" s="1"/>
  <c r="AF40" i="25" s="1"/>
  <c r="AP40" i="25" s="1"/>
  <c r="D2" i="25"/>
  <c r="D40" i="25" s="1"/>
  <c r="R40" i="25" s="1"/>
  <c r="AE40" i="25" s="1"/>
  <c r="AO40" i="25" s="1"/>
  <c r="C2" i="25"/>
  <c r="C40" i="25" s="1"/>
  <c r="Q40" i="25" s="1"/>
  <c r="AD40" i="25" s="1"/>
  <c r="AN40" i="25" s="1"/>
  <c r="B2" i="25"/>
  <c r="B40" i="25" s="1"/>
  <c r="P40" i="25" s="1"/>
  <c r="AC40" i="25" s="1"/>
  <c r="AM40" i="25" s="1"/>
  <c r="AI40" i="26"/>
  <c r="AU40" i="26" s="1"/>
  <c r="BE40" i="26" s="1"/>
  <c r="I42" i="25"/>
  <c r="P42" i="25" s="1"/>
  <c r="AC42" i="25" s="1"/>
  <c r="AM42" i="25" s="1"/>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T41" i="24"/>
  <c r="AY41" i="24" s="1"/>
  <c r="BR41" i="24"/>
  <c r="AW41" i="24" s="1"/>
  <c r="BQ41" i="24"/>
  <c r="AV41" i="24" s="1"/>
  <c r="BN41" i="24"/>
  <c r="Y41" i="24"/>
  <c r="X41" i="24"/>
  <c r="W41" i="24"/>
  <c r="V41" i="24"/>
  <c r="U41" i="24"/>
  <c r="T41" i="24"/>
  <c r="BP41" i="24" s="1"/>
  <c r="AU41" i="24" s="1"/>
  <c r="S41" i="24"/>
  <c r="R41" i="24"/>
  <c r="AS41" i="24" s="1"/>
  <c r="Z41" i="24"/>
  <c r="BV40" i="24"/>
  <c r="BA40" i="24" s="1"/>
  <c r="BN40" i="24"/>
  <c r="Z40" i="24"/>
  <c r="R40" i="24"/>
  <c r="O33" i="24"/>
  <c r="N33" i="24"/>
  <c r="H33" i="24"/>
  <c r="G33" i="24"/>
  <c r="E33" i="24"/>
  <c r="D33" i="24"/>
  <c r="B33" i="24"/>
  <c r="A33" i="24"/>
  <c r="A71" i="24" s="1"/>
  <c r="AG71" i="24" s="1"/>
  <c r="O32" i="24"/>
  <c r="H32" i="24"/>
  <c r="G32" i="24"/>
  <c r="E32" i="24"/>
  <c r="D32" i="24"/>
  <c r="B32" i="24"/>
  <c r="A32" i="24"/>
  <c r="A70" i="24" s="1"/>
  <c r="O31" i="24"/>
  <c r="N31" i="24"/>
  <c r="H31" i="24"/>
  <c r="G31" i="24"/>
  <c r="E31" i="24"/>
  <c r="D31" i="24"/>
  <c r="B31" i="24"/>
  <c r="A31" i="24"/>
  <c r="A69" i="24" s="1"/>
  <c r="R69" i="24" s="1"/>
  <c r="O30" i="24"/>
  <c r="H30" i="24"/>
  <c r="G30" i="24"/>
  <c r="E30" i="24"/>
  <c r="D30" i="24"/>
  <c r="B30" i="24"/>
  <c r="A30" i="24"/>
  <c r="A68" i="24" s="1"/>
  <c r="R68" i="24" s="1"/>
  <c r="O29" i="24"/>
  <c r="N29" i="24"/>
  <c r="H29" i="24"/>
  <c r="G29" i="24"/>
  <c r="E29" i="24"/>
  <c r="D29" i="24"/>
  <c r="B29" i="24"/>
  <c r="A29" i="24"/>
  <c r="A67" i="24" s="1"/>
  <c r="R67" i="24" s="1"/>
  <c r="O28" i="24"/>
  <c r="H28" i="24"/>
  <c r="G28" i="24"/>
  <c r="E28" i="24"/>
  <c r="D28" i="24"/>
  <c r="B28" i="24"/>
  <c r="A28" i="24"/>
  <c r="A66" i="24" s="1"/>
  <c r="O27" i="24"/>
  <c r="N27" i="24"/>
  <c r="H27" i="24"/>
  <c r="G27" i="24"/>
  <c r="E27" i="24"/>
  <c r="D27" i="24"/>
  <c r="B27" i="24"/>
  <c r="A27" i="24"/>
  <c r="A65" i="24" s="1"/>
  <c r="O26" i="24"/>
  <c r="H26" i="24"/>
  <c r="G26" i="24"/>
  <c r="E26" i="24"/>
  <c r="D26" i="24"/>
  <c r="B26" i="24"/>
  <c r="A26" i="24"/>
  <c r="A64" i="24" s="1"/>
  <c r="O25" i="24"/>
  <c r="N25" i="24"/>
  <c r="H25" i="24"/>
  <c r="G25" i="24"/>
  <c r="G63" i="24" s="1"/>
  <c r="E25" i="24"/>
  <c r="E63" i="24" s="1"/>
  <c r="D25" i="24"/>
  <c r="D63" i="24" s="1"/>
  <c r="B25" i="24"/>
  <c r="B63" i="24" s="1"/>
  <c r="A25" i="24"/>
  <c r="A63" i="24" s="1"/>
  <c r="N63" i="24" s="1"/>
  <c r="O24" i="24"/>
  <c r="H24" i="24"/>
  <c r="G24" i="24"/>
  <c r="E24" i="24"/>
  <c r="D24" i="24"/>
  <c r="B24" i="24"/>
  <c r="A24" i="24"/>
  <c r="A62" i="24" s="1"/>
  <c r="R62" i="24" s="1"/>
  <c r="O23" i="24"/>
  <c r="N23" i="24"/>
  <c r="H23" i="24"/>
  <c r="G23" i="24"/>
  <c r="E23" i="24"/>
  <c r="D23" i="24"/>
  <c r="B23" i="24"/>
  <c r="A23" i="24"/>
  <c r="A61" i="24" s="1"/>
  <c r="N61" i="24" s="1"/>
  <c r="O22" i="24"/>
  <c r="H22" i="24"/>
  <c r="G22" i="24"/>
  <c r="E22" i="24"/>
  <c r="D22" i="24"/>
  <c r="B22" i="24"/>
  <c r="A22" i="24"/>
  <c r="A60" i="24" s="1"/>
  <c r="R60" i="24" s="1"/>
  <c r="O21" i="24"/>
  <c r="N21" i="24"/>
  <c r="H21" i="24"/>
  <c r="G21" i="24"/>
  <c r="E21" i="24"/>
  <c r="D21" i="24"/>
  <c r="B21" i="24"/>
  <c r="A21" i="24"/>
  <c r="A59" i="24" s="1"/>
  <c r="AG59" i="24" s="1"/>
  <c r="BN59" i="24" s="1"/>
  <c r="O20" i="24"/>
  <c r="H20" i="24"/>
  <c r="G20" i="24"/>
  <c r="E20" i="24"/>
  <c r="D20" i="24"/>
  <c r="B20" i="24"/>
  <c r="A20" i="24"/>
  <c r="A58" i="24" s="1"/>
  <c r="R58" i="24" s="1"/>
  <c r="O19" i="24"/>
  <c r="N19" i="24"/>
  <c r="H19" i="24"/>
  <c r="G19" i="24"/>
  <c r="G57" i="24" s="1"/>
  <c r="E19" i="24"/>
  <c r="E57" i="24" s="1"/>
  <c r="D19" i="24"/>
  <c r="D57" i="24" s="1"/>
  <c r="B19" i="24"/>
  <c r="B57" i="24" s="1"/>
  <c r="A19" i="24"/>
  <c r="A57" i="24" s="1"/>
  <c r="O18" i="24"/>
  <c r="H18" i="24"/>
  <c r="G18" i="24"/>
  <c r="E18" i="24"/>
  <c r="D18" i="24"/>
  <c r="B18" i="24"/>
  <c r="A18" i="24"/>
  <c r="A56" i="24" s="1"/>
  <c r="AG56" i="24" s="1"/>
  <c r="BN56" i="24" s="1"/>
  <c r="O17" i="24"/>
  <c r="N17" i="24"/>
  <c r="H17" i="24"/>
  <c r="G17" i="24"/>
  <c r="E17" i="24"/>
  <c r="D17" i="24"/>
  <c r="B17" i="24"/>
  <c r="A17" i="24"/>
  <c r="A55" i="24" s="1"/>
  <c r="R55" i="24" s="1"/>
  <c r="O16" i="24"/>
  <c r="H16" i="24"/>
  <c r="G16" i="24"/>
  <c r="E16" i="24"/>
  <c r="D16" i="24"/>
  <c r="B16" i="24"/>
  <c r="A16" i="24"/>
  <c r="A54" i="24" s="1"/>
  <c r="AG54" i="24" s="1"/>
  <c r="BN54" i="24" s="1"/>
  <c r="O15" i="24"/>
  <c r="N15" i="24"/>
  <c r="H15" i="24"/>
  <c r="G15" i="24"/>
  <c r="E15" i="24"/>
  <c r="D15" i="24"/>
  <c r="B15" i="24"/>
  <c r="A15" i="24"/>
  <c r="A53" i="24" s="1"/>
  <c r="R53" i="24" s="1"/>
  <c r="O14" i="24"/>
  <c r="H14" i="24"/>
  <c r="G14" i="24"/>
  <c r="C14" i="24"/>
  <c r="B14" i="24"/>
  <c r="A14" i="24"/>
  <c r="A52" i="24" s="1"/>
  <c r="AS52" i="24" s="1"/>
  <c r="O13" i="24"/>
  <c r="N13" i="24"/>
  <c r="H13" i="24"/>
  <c r="G13" i="24"/>
  <c r="C13" i="24"/>
  <c r="B13" i="24"/>
  <c r="A13" i="24"/>
  <c r="A51" i="24" s="1"/>
  <c r="R51" i="24" s="1"/>
  <c r="O12" i="24"/>
  <c r="N12" i="24"/>
  <c r="H12" i="24"/>
  <c r="F12" i="24"/>
  <c r="C12" i="24"/>
  <c r="B12" i="24"/>
  <c r="A12" i="24"/>
  <c r="A50" i="24" s="1"/>
  <c r="AG50" i="24" s="1"/>
  <c r="BN50" i="24" s="1"/>
  <c r="N11" i="24"/>
  <c r="H11" i="24"/>
  <c r="F11" i="24"/>
  <c r="C11" i="24"/>
  <c r="B11" i="24"/>
  <c r="A11" i="24"/>
  <c r="A49" i="24" s="1"/>
  <c r="R49" i="24" s="1"/>
  <c r="H10" i="24"/>
  <c r="F10" i="24"/>
  <c r="C10" i="24"/>
  <c r="B10" i="24"/>
  <c r="A10" i="24"/>
  <c r="A48" i="24" s="1"/>
  <c r="O9" i="24"/>
  <c r="N9" i="24"/>
  <c r="H9" i="24"/>
  <c r="F9" i="24"/>
  <c r="C9" i="24"/>
  <c r="B9" i="24"/>
  <c r="A9" i="24"/>
  <c r="A47" i="24" s="1"/>
  <c r="O8" i="24"/>
  <c r="N8" i="24"/>
  <c r="H8" i="24"/>
  <c r="F8" i="24"/>
  <c r="C8" i="24"/>
  <c r="B8" i="24"/>
  <c r="A8" i="24"/>
  <c r="A46" i="24" s="1"/>
  <c r="N7" i="24"/>
  <c r="H7" i="24"/>
  <c r="F7" i="24"/>
  <c r="C7" i="24"/>
  <c r="B7" i="24"/>
  <c r="A7" i="24"/>
  <c r="A45" i="24" s="1"/>
  <c r="O6" i="24"/>
  <c r="H6" i="24"/>
  <c r="F6" i="24"/>
  <c r="C6" i="24"/>
  <c r="B6" i="24"/>
  <c r="A6" i="24"/>
  <c r="A44" i="24" s="1"/>
  <c r="O5" i="24"/>
  <c r="N5" i="24"/>
  <c r="H5" i="24"/>
  <c r="F5" i="24"/>
  <c r="C5" i="24"/>
  <c r="B5" i="24"/>
  <c r="A5" i="24"/>
  <c r="A43" i="24" s="1"/>
  <c r="AS43" i="24" s="1"/>
  <c r="O4" i="24"/>
  <c r="N4" i="24"/>
  <c r="H4" i="24"/>
  <c r="H42" i="24" s="1"/>
  <c r="F4" i="24"/>
  <c r="F42" i="24" s="1"/>
  <c r="C4" i="24"/>
  <c r="C42" i="24" s="1"/>
  <c r="B4" i="24"/>
  <c r="B42" i="24" s="1"/>
  <c r="A4" i="24"/>
  <c r="A42" i="24" s="1"/>
  <c r="N3" i="24"/>
  <c r="H3" i="24"/>
  <c r="H40" i="24" s="1"/>
  <c r="G3" i="24"/>
  <c r="G40" i="24" s="1"/>
  <c r="F3" i="24"/>
  <c r="F40" i="24" s="1"/>
  <c r="E3" i="24"/>
  <c r="E40" i="24" s="1"/>
  <c r="V40" i="24" s="1"/>
  <c r="D3" i="24"/>
  <c r="D40" i="24" s="1"/>
  <c r="AJ40" i="24" s="1"/>
  <c r="BQ40" i="24" s="1"/>
  <c r="AV40" i="24" s="1"/>
  <c r="C3" i="24"/>
  <c r="C40" i="24" s="1"/>
  <c r="B3" i="24"/>
  <c r="B40" i="24" s="1"/>
  <c r="AH40" i="24" s="1"/>
  <c r="BO40" i="24" s="1"/>
  <c r="AT40" i="24" s="1"/>
  <c r="A3" i="24"/>
  <c r="H2" i="24"/>
  <c r="H39" i="24" s="1"/>
  <c r="G2" i="24"/>
  <c r="G39" i="24" s="1"/>
  <c r="F2" i="24"/>
  <c r="F39" i="24" s="1"/>
  <c r="W39" i="24" s="1"/>
  <c r="E2" i="24"/>
  <c r="E39" i="24" s="1"/>
  <c r="V39" i="24" s="1"/>
  <c r="D2" i="24"/>
  <c r="D39" i="24" s="1"/>
  <c r="AJ39" i="24" s="1"/>
  <c r="BQ39" i="24" s="1"/>
  <c r="AV39" i="24" s="1"/>
  <c r="C2" i="24"/>
  <c r="C39" i="24" s="1"/>
  <c r="B2" i="24"/>
  <c r="B39" i="24" s="1"/>
  <c r="S39" i="24" s="1"/>
  <c r="AY42" i="23"/>
  <c r="BI42" i="23" s="1"/>
  <c r="AW42" i="23"/>
  <c r="BG42" i="23" s="1"/>
  <c r="AV42" i="23"/>
  <c r="BF42" i="23" s="1"/>
  <c r="AS42" i="23"/>
  <c r="BC42" i="23" s="1"/>
  <c r="Y42" i="23"/>
  <c r="X42" i="23"/>
  <c r="W42" i="23"/>
  <c r="V42" i="23"/>
  <c r="U42" i="23"/>
  <c r="T42" i="23"/>
  <c r="S42" i="23"/>
  <c r="R42" i="23"/>
  <c r="I42" i="23"/>
  <c r="Z42" i="23" s="1"/>
  <c r="BA41" i="23"/>
  <c r="BK41" i="23" s="1"/>
  <c r="AS41" i="23"/>
  <c r="Z41" i="23"/>
  <c r="R41" i="23"/>
  <c r="O33" i="23"/>
  <c r="N33" i="23"/>
  <c r="H33" i="23"/>
  <c r="G33" i="23"/>
  <c r="E33" i="23"/>
  <c r="D33" i="23"/>
  <c r="B33" i="23"/>
  <c r="A33" i="23"/>
  <c r="A72" i="23" s="1"/>
  <c r="R72" i="23" s="1"/>
  <c r="O32" i="23"/>
  <c r="N32" i="23"/>
  <c r="H32" i="23"/>
  <c r="G32" i="23"/>
  <c r="E32" i="23"/>
  <c r="D32" i="23"/>
  <c r="B32" i="23"/>
  <c r="A32" i="23"/>
  <c r="A71" i="23" s="1"/>
  <c r="N31" i="23"/>
  <c r="H31" i="23"/>
  <c r="G31" i="23"/>
  <c r="E31" i="23"/>
  <c r="D31" i="23"/>
  <c r="B31" i="23"/>
  <c r="A31" i="23"/>
  <c r="A70" i="23" s="1"/>
  <c r="O30" i="23"/>
  <c r="N30" i="23"/>
  <c r="H30" i="23"/>
  <c r="G30" i="23"/>
  <c r="E30" i="23"/>
  <c r="D30" i="23"/>
  <c r="B30" i="23"/>
  <c r="A30" i="23"/>
  <c r="A69" i="23" s="1"/>
  <c r="N69" i="23" s="1"/>
  <c r="O29" i="23"/>
  <c r="N29" i="23"/>
  <c r="H29" i="23"/>
  <c r="G29" i="23"/>
  <c r="E29" i="23"/>
  <c r="D29" i="23"/>
  <c r="B29" i="23"/>
  <c r="A29" i="23"/>
  <c r="A68" i="23" s="1"/>
  <c r="O28" i="23"/>
  <c r="N28" i="23"/>
  <c r="H28" i="23"/>
  <c r="G28" i="23"/>
  <c r="E28" i="23"/>
  <c r="D28" i="23"/>
  <c r="B28" i="23"/>
  <c r="A28" i="23"/>
  <c r="A67" i="23" s="1"/>
  <c r="N27" i="23"/>
  <c r="H27" i="23"/>
  <c r="G27" i="23"/>
  <c r="E27" i="23"/>
  <c r="D27" i="23"/>
  <c r="B27" i="23"/>
  <c r="A27" i="23"/>
  <c r="A66" i="23" s="1"/>
  <c r="AG66" i="23" s="1"/>
  <c r="AS66" i="23" s="1"/>
  <c r="BC66" i="23" s="1"/>
  <c r="O26" i="23"/>
  <c r="N26" i="23"/>
  <c r="H26" i="23"/>
  <c r="G26" i="23"/>
  <c r="E26" i="23"/>
  <c r="D26" i="23"/>
  <c r="B26" i="23"/>
  <c r="A26" i="23"/>
  <c r="A65" i="23" s="1"/>
  <c r="O25" i="23"/>
  <c r="N25" i="23"/>
  <c r="H25" i="23"/>
  <c r="G25" i="23"/>
  <c r="E25" i="23"/>
  <c r="D25" i="23"/>
  <c r="B25" i="23"/>
  <c r="A25" i="23"/>
  <c r="A64" i="23" s="1"/>
  <c r="N64" i="23" s="1"/>
  <c r="O24" i="23"/>
  <c r="N24" i="23"/>
  <c r="H24" i="23"/>
  <c r="G24" i="23"/>
  <c r="E24" i="23"/>
  <c r="D24" i="23"/>
  <c r="B24" i="23"/>
  <c r="A24" i="23"/>
  <c r="A63" i="23" s="1"/>
  <c r="AG63" i="23" s="1"/>
  <c r="AS63" i="23" s="1"/>
  <c r="BC63" i="23" s="1"/>
  <c r="N23" i="23"/>
  <c r="H23" i="23"/>
  <c r="G23" i="23"/>
  <c r="E23" i="23"/>
  <c r="D23" i="23"/>
  <c r="B23" i="23"/>
  <c r="A23" i="23"/>
  <c r="A62" i="23" s="1"/>
  <c r="N62" i="23" s="1"/>
  <c r="O22" i="23"/>
  <c r="N22" i="23"/>
  <c r="H22" i="23"/>
  <c r="G22" i="23"/>
  <c r="E22" i="23"/>
  <c r="D22" i="23"/>
  <c r="B22" i="23"/>
  <c r="A22" i="23"/>
  <c r="A61" i="23" s="1"/>
  <c r="O21" i="23"/>
  <c r="N21" i="23"/>
  <c r="H21" i="23"/>
  <c r="G21" i="23"/>
  <c r="E21" i="23"/>
  <c r="D21" i="23"/>
  <c r="B21" i="23"/>
  <c r="A21" i="23"/>
  <c r="A60" i="23" s="1"/>
  <c r="O20" i="23"/>
  <c r="N20" i="23"/>
  <c r="H20" i="23"/>
  <c r="G20" i="23"/>
  <c r="E20" i="23"/>
  <c r="D20" i="23"/>
  <c r="B20" i="23"/>
  <c r="A20" i="23"/>
  <c r="A59" i="23" s="1"/>
  <c r="AG59" i="23" s="1"/>
  <c r="AS59" i="23" s="1"/>
  <c r="BC59" i="23" s="1"/>
  <c r="N19" i="23"/>
  <c r="H19" i="23"/>
  <c r="G19" i="23"/>
  <c r="E19" i="23"/>
  <c r="D19" i="23"/>
  <c r="B19" i="23"/>
  <c r="A19" i="23"/>
  <c r="A58" i="23" s="1"/>
  <c r="R58" i="23" s="1"/>
  <c r="O18" i="23"/>
  <c r="N18" i="23"/>
  <c r="H18" i="23"/>
  <c r="G18" i="23"/>
  <c r="E18" i="23"/>
  <c r="D18" i="23"/>
  <c r="B18" i="23"/>
  <c r="A18" i="23"/>
  <c r="A57" i="23" s="1"/>
  <c r="N57" i="23" s="1"/>
  <c r="O17" i="23"/>
  <c r="N17" i="23"/>
  <c r="H17" i="23"/>
  <c r="G17" i="23"/>
  <c r="E17" i="23"/>
  <c r="D17" i="23"/>
  <c r="B17" i="23"/>
  <c r="A17" i="23"/>
  <c r="A56" i="23" s="1"/>
  <c r="O16" i="23"/>
  <c r="N16" i="23"/>
  <c r="H16" i="23"/>
  <c r="G16" i="23"/>
  <c r="E16" i="23"/>
  <c r="D16" i="23"/>
  <c r="B16" i="23"/>
  <c r="A16" i="23"/>
  <c r="A55" i="23" s="1"/>
  <c r="N55" i="23" s="1"/>
  <c r="N15" i="23"/>
  <c r="H15" i="23"/>
  <c r="G15" i="23"/>
  <c r="E15" i="23"/>
  <c r="D15" i="23"/>
  <c r="B15" i="23"/>
  <c r="A15" i="23"/>
  <c r="A54" i="23" s="1"/>
  <c r="AG54" i="23" s="1"/>
  <c r="AS54" i="23" s="1"/>
  <c r="BC54" i="23" s="1"/>
  <c r="O14" i="23"/>
  <c r="N14" i="23"/>
  <c r="H14" i="23"/>
  <c r="G14" i="23"/>
  <c r="C14" i="23"/>
  <c r="B14" i="23"/>
  <c r="A14" i="23"/>
  <c r="A53" i="23" s="1"/>
  <c r="N53" i="23" s="1"/>
  <c r="O13" i="23"/>
  <c r="N13" i="23"/>
  <c r="H13" i="23"/>
  <c r="G13" i="23"/>
  <c r="C13" i="23"/>
  <c r="B13" i="23"/>
  <c r="A13" i="23"/>
  <c r="A52" i="23" s="1"/>
  <c r="H12" i="23"/>
  <c r="F12" i="23"/>
  <c r="C12" i="23"/>
  <c r="B12" i="23"/>
  <c r="A12" i="23"/>
  <c r="A51" i="23" s="1"/>
  <c r="N51" i="23" s="1"/>
  <c r="N11" i="23"/>
  <c r="H11" i="23"/>
  <c r="F11" i="23"/>
  <c r="C11" i="23"/>
  <c r="B11" i="23"/>
  <c r="A11" i="23"/>
  <c r="A50" i="23" s="1"/>
  <c r="N50" i="23" s="1"/>
  <c r="O10" i="23"/>
  <c r="H10" i="23"/>
  <c r="F10" i="23"/>
  <c r="C10" i="23"/>
  <c r="B10" i="23"/>
  <c r="A10" i="23"/>
  <c r="A49" i="23" s="1"/>
  <c r="AG49" i="23" s="1"/>
  <c r="AS49" i="23" s="1"/>
  <c r="BC49" i="23" s="1"/>
  <c r="O9" i="23"/>
  <c r="N9" i="23"/>
  <c r="H9" i="23"/>
  <c r="F9" i="23"/>
  <c r="C9" i="23"/>
  <c r="B9" i="23"/>
  <c r="A9" i="23"/>
  <c r="A48" i="23" s="1"/>
  <c r="R48" i="23" s="1"/>
  <c r="H8" i="23"/>
  <c r="F8" i="23"/>
  <c r="C8" i="23"/>
  <c r="B8" i="23"/>
  <c r="A8" i="23"/>
  <c r="A47" i="23" s="1"/>
  <c r="R47" i="23" s="1"/>
  <c r="O7" i="23"/>
  <c r="N7" i="23"/>
  <c r="H7" i="23"/>
  <c r="F7" i="23"/>
  <c r="C7" i="23"/>
  <c r="B7" i="23"/>
  <c r="A7" i="23"/>
  <c r="A46" i="23" s="1"/>
  <c r="R46" i="23" s="1"/>
  <c r="O6" i="23"/>
  <c r="N6" i="23"/>
  <c r="H6" i="23"/>
  <c r="F6" i="23"/>
  <c r="C6" i="23"/>
  <c r="B6" i="23"/>
  <c r="A6" i="23"/>
  <c r="A45" i="23" s="1"/>
  <c r="N45" i="23" s="1"/>
  <c r="O5" i="23"/>
  <c r="N5" i="23"/>
  <c r="H5" i="23"/>
  <c r="F5" i="23"/>
  <c r="C5" i="23"/>
  <c r="B5" i="23"/>
  <c r="A5" i="23"/>
  <c r="A44" i="23" s="1"/>
  <c r="R44" i="23" s="1"/>
  <c r="H4" i="23"/>
  <c r="H43" i="23" s="1"/>
  <c r="F4" i="23"/>
  <c r="F43" i="23" s="1"/>
  <c r="C4" i="23"/>
  <c r="C43" i="23" s="1"/>
  <c r="B4" i="23"/>
  <c r="B43" i="23" s="1"/>
  <c r="A4" i="23"/>
  <c r="A43" i="23" s="1"/>
  <c r="N3" i="23"/>
  <c r="H3" i="23"/>
  <c r="H41" i="23" s="1"/>
  <c r="Y41" i="23" s="1"/>
  <c r="G3" i="23"/>
  <c r="G41" i="23" s="1"/>
  <c r="F3" i="23"/>
  <c r="F41" i="23" s="1"/>
  <c r="E3" i="23"/>
  <c r="E41" i="23" s="1"/>
  <c r="AK41" i="23" s="1"/>
  <c r="AW41" i="23" s="1"/>
  <c r="BG41" i="23" s="1"/>
  <c r="D3" i="23"/>
  <c r="D41" i="23" s="1"/>
  <c r="C3" i="23"/>
  <c r="C41" i="23" s="1"/>
  <c r="B3" i="23"/>
  <c r="B41" i="23" s="1"/>
  <c r="A3" i="23"/>
  <c r="H2" i="23"/>
  <c r="H40" i="23" s="1"/>
  <c r="G2" i="23"/>
  <c r="G40" i="23" s="1"/>
  <c r="F2" i="23"/>
  <c r="F40" i="23" s="1"/>
  <c r="E2" i="23"/>
  <c r="E40" i="23" s="1"/>
  <c r="D2" i="23"/>
  <c r="D40" i="23" s="1"/>
  <c r="C2" i="23"/>
  <c r="C40" i="23" s="1"/>
  <c r="T40" i="23" s="1"/>
  <c r="B2" i="23"/>
  <c r="B40" i="23" s="1"/>
  <c r="AY42" i="22"/>
  <c r="BI42" i="22" s="1"/>
  <c r="AW42" i="22"/>
  <c r="BG42" i="22" s="1"/>
  <c r="AV42" i="22"/>
  <c r="BF42" i="22" s="1"/>
  <c r="AS42" i="22"/>
  <c r="BC42" i="22" s="1"/>
  <c r="Y42" i="22"/>
  <c r="X42" i="22"/>
  <c r="W42" i="22"/>
  <c r="V42" i="22"/>
  <c r="U42" i="22"/>
  <c r="T42" i="22"/>
  <c r="S42" i="22"/>
  <c r="R42" i="22"/>
  <c r="I42" i="22"/>
  <c r="Z42" i="22" s="1"/>
  <c r="BA41" i="22"/>
  <c r="BK41" i="22" s="1"/>
  <c r="AS41" i="22"/>
  <c r="Z41" i="22"/>
  <c r="R41" i="22"/>
  <c r="O32" i="22"/>
  <c r="N32" i="22"/>
  <c r="H32" i="22"/>
  <c r="G32" i="22"/>
  <c r="E32" i="22"/>
  <c r="D32" i="22"/>
  <c r="B32" i="22"/>
  <c r="A32" i="22"/>
  <c r="A71" i="22" s="1"/>
  <c r="AG71" i="22" s="1"/>
  <c r="AS71" i="22" s="1"/>
  <c r="BC71" i="22" s="1"/>
  <c r="N31" i="22"/>
  <c r="H31" i="22"/>
  <c r="G31" i="22"/>
  <c r="E31" i="22"/>
  <c r="D31" i="22"/>
  <c r="B31" i="22"/>
  <c r="A31" i="22"/>
  <c r="A70" i="22" s="1"/>
  <c r="R70" i="22" s="1"/>
  <c r="O30" i="22"/>
  <c r="N30" i="22"/>
  <c r="H30" i="22"/>
  <c r="G30" i="22"/>
  <c r="E30" i="22"/>
  <c r="D30" i="22"/>
  <c r="B30" i="22"/>
  <c r="A30" i="22"/>
  <c r="A69" i="22" s="1"/>
  <c r="AG69" i="22" s="1"/>
  <c r="AS69" i="22" s="1"/>
  <c r="BC69" i="22" s="1"/>
  <c r="O29" i="22"/>
  <c r="N29" i="22"/>
  <c r="H29" i="22"/>
  <c r="G29" i="22"/>
  <c r="E29" i="22"/>
  <c r="D29" i="22"/>
  <c r="B29" i="22"/>
  <c r="A29" i="22"/>
  <c r="A68" i="22" s="1"/>
  <c r="O28" i="22"/>
  <c r="N28" i="22"/>
  <c r="H28" i="22"/>
  <c r="G28" i="22"/>
  <c r="E28" i="22"/>
  <c r="D28" i="22"/>
  <c r="B28" i="22"/>
  <c r="A28" i="22"/>
  <c r="A67" i="22" s="1"/>
  <c r="N27" i="22"/>
  <c r="H27" i="22"/>
  <c r="G27" i="22"/>
  <c r="E27" i="22"/>
  <c r="D27" i="22"/>
  <c r="B27" i="22"/>
  <c r="A27" i="22"/>
  <c r="A66" i="22" s="1"/>
  <c r="R66" i="22" s="1"/>
  <c r="O26" i="22"/>
  <c r="N26" i="22"/>
  <c r="H26" i="22"/>
  <c r="G26" i="22"/>
  <c r="E26" i="22"/>
  <c r="D26" i="22"/>
  <c r="B26" i="22"/>
  <c r="A26" i="22"/>
  <c r="A65" i="22" s="1"/>
  <c r="O25" i="22"/>
  <c r="N25" i="22"/>
  <c r="H25" i="22"/>
  <c r="G25" i="22"/>
  <c r="E25" i="22"/>
  <c r="D25" i="22"/>
  <c r="B25" i="22"/>
  <c r="A25" i="22"/>
  <c r="A64" i="22" s="1"/>
  <c r="AG64" i="22" s="1"/>
  <c r="AS64" i="22" s="1"/>
  <c r="BC64" i="22" s="1"/>
  <c r="O24" i="22"/>
  <c r="N24" i="22"/>
  <c r="H24" i="22"/>
  <c r="G24" i="22"/>
  <c r="E24" i="22"/>
  <c r="D24" i="22"/>
  <c r="B24" i="22"/>
  <c r="A24" i="22"/>
  <c r="A63" i="22" s="1"/>
  <c r="N23" i="22"/>
  <c r="H23" i="22"/>
  <c r="G23" i="22"/>
  <c r="E23" i="22"/>
  <c r="D23" i="22"/>
  <c r="B23" i="22"/>
  <c r="A23" i="22"/>
  <c r="A62" i="22" s="1"/>
  <c r="O22" i="22"/>
  <c r="N22" i="22"/>
  <c r="H22" i="22"/>
  <c r="G22" i="22"/>
  <c r="E22" i="22"/>
  <c r="D22" i="22"/>
  <c r="B22" i="22"/>
  <c r="A22" i="22"/>
  <c r="A61" i="22" s="1"/>
  <c r="R61" i="22" s="1"/>
  <c r="O21" i="22"/>
  <c r="N21" i="22"/>
  <c r="H21" i="22"/>
  <c r="G21" i="22"/>
  <c r="E21" i="22"/>
  <c r="D21" i="22"/>
  <c r="B21" i="22"/>
  <c r="A21" i="22"/>
  <c r="A60" i="22" s="1"/>
  <c r="AG60" i="22" s="1"/>
  <c r="AS60" i="22" s="1"/>
  <c r="BC60" i="22" s="1"/>
  <c r="O20" i="22"/>
  <c r="N20" i="22"/>
  <c r="H20" i="22"/>
  <c r="G20" i="22"/>
  <c r="E20" i="22"/>
  <c r="D20" i="22"/>
  <c r="B20" i="22"/>
  <c r="A20" i="22"/>
  <c r="A59" i="22" s="1"/>
  <c r="AG59" i="22" s="1"/>
  <c r="AS59" i="22" s="1"/>
  <c r="BC59" i="22" s="1"/>
  <c r="N19" i="22"/>
  <c r="H19" i="22"/>
  <c r="G19" i="22"/>
  <c r="E19" i="22"/>
  <c r="D19" i="22"/>
  <c r="B19" i="22"/>
  <c r="A19" i="22"/>
  <c r="A58" i="22" s="1"/>
  <c r="O18" i="22"/>
  <c r="N18" i="22"/>
  <c r="H18" i="22"/>
  <c r="G18" i="22"/>
  <c r="E18" i="22"/>
  <c r="D18" i="22"/>
  <c r="B18" i="22"/>
  <c r="A18" i="22"/>
  <c r="A57" i="22" s="1"/>
  <c r="O17" i="22"/>
  <c r="N17" i="22"/>
  <c r="H17" i="22"/>
  <c r="G17" i="22"/>
  <c r="E17" i="22"/>
  <c r="D17" i="22"/>
  <c r="B17" i="22"/>
  <c r="A17" i="22"/>
  <c r="A56" i="22" s="1"/>
  <c r="R56" i="22" s="1"/>
  <c r="O16" i="22"/>
  <c r="N16" i="22"/>
  <c r="H16" i="22"/>
  <c r="G16" i="22"/>
  <c r="E16" i="22"/>
  <c r="D16" i="22"/>
  <c r="B16" i="22"/>
  <c r="A16" i="22"/>
  <c r="A55" i="22" s="1"/>
  <c r="N15" i="22"/>
  <c r="H15" i="22"/>
  <c r="G15" i="22"/>
  <c r="E15" i="22"/>
  <c r="D15" i="22"/>
  <c r="B15" i="22"/>
  <c r="A15" i="22"/>
  <c r="A54" i="22" s="1"/>
  <c r="R54" i="22" s="1"/>
  <c r="O14" i="22"/>
  <c r="N14" i="22"/>
  <c r="H14" i="22"/>
  <c r="G14" i="22"/>
  <c r="C14" i="22"/>
  <c r="B14" i="22"/>
  <c r="A14" i="22"/>
  <c r="A53" i="22" s="1"/>
  <c r="R53" i="22" s="1"/>
  <c r="O13" i="22"/>
  <c r="N13" i="22"/>
  <c r="H13" i="22"/>
  <c r="G13" i="22"/>
  <c r="C13" i="22"/>
  <c r="B13" i="22"/>
  <c r="A13" i="22"/>
  <c r="A52" i="22" s="1"/>
  <c r="AG52" i="22" s="1"/>
  <c r="AS52" i="22" s="1"/>
  <c r="BC52" i="22" s="1"/>
  <c r="O12" i="22"/>
  <c r="H12" i="22"/>
  <c r="F12" i="22"/>
  <c r="C12" i="22"/>
  <c r="B12" i="22"/>
  <c r="A12" i="22"/>
  <c r="A51" i="22" s="1"/>
  <c r="N11" i="22"/>
  <c r="H11" i="22"/>
  <c r="F11" i="22"/>
  <c r="C11" i="22"/>
  <c r="B11" i="22"/>
  <c r="A11" i="22"/>
  <c r="A50" i="22" s="1"/>
  <c r="N50" i="22" s="1"/>
  <c r="O10" i="22"/>
  <c r="N10" i="22"/>
  <c r="H10" i="22"/>
  <c r="F10" i="22"/>
  <c r="C10" i="22"/>
  <c r="B10" i="22"/>
  <c r="A10" i="22"/>
  <c r="A49" i="22" s="1"/>
  <c r="N49" i="22" s="1"/>
  <c r="O9" i="22"/>
  <c r="N9" i="22"/>
  <c r="H9" i="22"/>
  <c r="F9" i="22"/>
  <c r="C9" i="22"/>
  <c r="B9" i="22"/>
  <c r="A9" i="22"/>
  <c r="A48" i="22" s="1"/>
  <c r="R48" i="22" s="1"/>
  <c r="H8" i="22"/>
  <c r="F8" i="22"/>
  <c r="C8" i="22"/>
  <c r="B8" i="22"/>
  <c r="A8" i="22"/>
  <c r="A47" i="22" s="1"/>
  <c r="N47" i="22" s="1"/>
  <c r="N7" i="22"/>
  <c r="H7" i="22"/>
  <c r="F7" i="22"/>
  <c r="C7" i="22"/>
  <c r="B7" i="22"/>
  <c r="A7" i="22"/>
  <c r="A46" i="22" s="1"/>
  <c r="R46" i="22" s="1"/>
  <c r="O6" i="22"/>
  <c r="N6" i="22"/>
  <c r="H6" i="22"/>
  <c r="F6" i="22"/>
  <c r="C6" i="22"/>
  <c r="B6" i="22"/>
  <c r="A6" i="22"/>
  <c r="A45" i="22" s="1"/>
  <c r="R45" i="22" s="1"/>
  <c r="O5" i="22"/>
  <c r="N5" i="22"/>
  <c r="H5" i="22"/>
  <c r="F5" i="22"/>
  <c r="C5" i="22"/>
  <c r="B5" i="22"/>
  <c r="A5" i="22"/>
  <c r="A44" i="22" s="1"/>
  <c r="AG44" i="22" s="1"/>
  <c r="AS44" i="22" s="1"/>
  <c r="BC44" i="22" s="1"/>
  <c r="O4" i="22"/>
  <c r="H4" i="22"/>
  <c r="H43" i="22" s="1"/>
  <c r="F4" i="22"/>
  <c r="F43" i="22" s="1"/>
  <c r="C4" i="22"/>
  <c r="C43" i="22" s="1"/>
  <c r="B4" i="22"/>
  <c r="B43" i="22" s="1"/>
  <c r="A4" i="22"/>
  <c r="A43" i="22" s="1"/>
  <c r="N43" i="22" s="1"/>
  <c r="N3" i="22"/>
  <c r="H3" i="22"/>
  <c r="H41" i="22" s="1"/>
  <c r="AN41" i="22" s="1"/>
  <c r="AZ41" i="22" s="1"/>
  <c r="BJ41" i="22" s="1"/>
  <c r="G3" i="22"/>
  <c r="G41" i="22" s="1"/>
  <c r="F3" i="22"/>
  <c r="F41" i="22" s="1"/>
  <c r="E3" i="22"/>
  <c r="E41" i="22" s="1"/>
  <c r="D3" i="22"/>
  <c r="D41" i="22" s="1"/>
  <c r="C3" i="22"/>
  <c r="C41" i="22" s="1"/>
  <c r="B3" i="22"/>
  <c r="B41" i="22" s="1"/>
  <c r="A3" i="22"/>
  <c r="H2" i="22"/>
  <c r="H40" i="22" s="1"/>
  <c r="G2" i="22"/>
  <c r="G40" i="22" s="1"/>
  <c r="F2" i="22"/>
  <c r="F40" i="22" s="1"/>
  <c r="E2" i="22"/>
  <c r="E40" i="22" s="1"/>
  <c r="D2" i="22"/>
  <c r="D40" i="22" s="1"/>
  <c r="C2" i="22"/>
  <c r="C40" i="22" s="1"/>
  <c r="B2" i="22"/>
  <c r="B40" i="22" s="1"/>
  <c r="AH40" i="22" s="1"/>
  <c r="AT40" i="22" s="1"/>
  <c r="BD40" i="22" s="1"/>
  <c r="Y42" i="21"/>
  <c r="X42" i="21"/>
  <c r="W42" i="21"/>
  <c r="V42" i="21"/>
  <c r="U42" i="21"/>
  <c r="T42" i="21"/>
  <c r="S42" i="21"/>
  <c r="R42" i="21"/>
  <c r="I42" i="21"/>
  <c r="Z42" i="21" s="1"/>
  <c r="Z41" i="21"/>
  <c r="R41" i="21"/>
  <c r="H33" i="21"/>
  <c r="G33" i="21"/>
  <c r="E33" i="21"/>
  <c r="D33" i="21"/>
  <c r="B33" i="21"/>
  <c r="H32" i="21"/>
  <c r="G32" i="21"/>
  <c r="E32" i="21"/>
  <c r="D32" i="21"/>
  <c r="B32" i="21"/>
  <c r="H31" i="21"/>
  <c r="G31" i="21"/>
  <c r="E31" i="21"/>
  <c r="D31" i="21"/>
  <c r="B31" i="21"/>
  <c r="H30" i="21"/>
  <c r="G30" i="21"/>
  <c r="E30" i="21"/>
  <c r="D30" i="21"/>
  <c r="H29" i="21"/>
  <c r="G29" i="21"/>
  <c r="E29" i="21"/>
  <c r="D29" i="21"/>
  <c r="H28" i="21"/>
  <c r="G28" i="21"/>
  <c r="E28" i="21"/>
  <c r="D28" i="21"/>
  <c r="H27" i="21"/>
  <c r="G27" i="21"/>
  <c r="E27" i="21"/>
  <c r="D27" i="21"/>
  <c r="H26" i="21"/>
  <c r="G26" i="21"/>
  <c r="E26" i="21"/>
  <c r="D26" i="21"/>
  <c r="H25" i="21"/>
  <c r="G25" i="21"/>
  <c r="E25" i="21"/>
  <c r="D25" i="21"/>
  <c r="H24" i="21"/>
  <c r="G24" i="21"/>
  <c r="E24" i="21"/>
  <c r="D24" i="21"/>
  <c r="H23" i="21"/>
  <c r="G23" i="21"/>
  <c r="E23" i="21"/>
  <c r="D23" i="21"/>
  <c r="H22" i="21"/>
  <c r="G22" i="21"/>
  <c r="E22" i="21"/>
  <c r="D22" i="21"/>
  <c r="H21" i="21"/>
  <c r="G21" i="21"/>
  <c r="E21" i="21"/>
  <c r="D21" i="21"/>
  <c r="H20" i="21"/>
  <c r="G20" i="21"/>
  <c r="E20" i="21"/>
  <c r="D20" i="21"/>
  <c r="H19" i="21"/>
  <c r="G19" i="21"/>
  <c r="E19" i="21"/>
  <c r="D19" i="21"/>
  <c r="H18" i="21"/>
  <c r="G18" i="21"/>
  <c r="E18" i="21"/>
  <c r="D18" i="21"/>
  <c r="H17" i="21"/>
  <c r="G17" i="21"/>
  <c r="E17" i="21"/>
  <c r="D17" i="21"/>
  <c r="H16" i="21"/>
  <c r="G16" i="21"/>
  <c r="E16" i="21"/>
  <c r="D16" i="21"/>
  <c r="H15" i="21"/>
  <c r="G15" i="21"/>
  <c r="E15" i="21"/>
  <c r="D15" i="21"/>
  <c r="H14" i="21"/>
  <c r="G14" i="21"/>
  <c r="C14" i="21"/>
  <c r="H13" i="21"/>
  <c r="G13" i="21"/>
  <c r="C13" i="21"/>
  <c r="H12" i="21"/>
  <c r="F12" i="21"/>
  <c r="C12" i="21"/>
  <c r="H11" i="21"/>
  <c r="F11" i="21"/>
  <c r="C11" i="21"/>
  <c r="H10" i="21"/>
  <c r="F10" i="21"/>
  <c r="C10" i="21"/>
  <c r="H9" i="21"/>
  <c r="F9" i="21"/>
  <c r="C9" i="21"/>
  <c r="H8" i="21"/>
  <c r="F8" i="21"/>
  <c r="C8" i="21"/>
  <c r="H7" i="21"/>
  <c r="F7" i="21"/>
  <c r="C7" i="21"/>
  <c r="H6" i="21"/>
  <c r="F6" i="21"/>
  <c r="C6" i="21"/>
  <c r="H5" i="21"/>
  <c r="F5" i="21"/>
  <c r="C5" i="21"/>
  <c r="N44" i="21"/>
  <c r="A4" i="21"/>
  <c r="A43" i="21" s="1"/>
  <c r="N43" i="21" s="1"/>
  <c r="H3" i="21"/>
  <c r="H41" i="21" s="1"/>
  <c r="G3" i="21"/>
  <c r="G41" i="21" s="1"/>
  <c r="F3" i="21"/>
  <c r="F41" i="21" s="1"/>
  <c r="E3" i="21"/>
  <c r="E41" i="21" s="1"/>
  <c r="V41" i="21" s="1"/>
  <c r="D3" i="21"/>
  <c r="D41" i="21" s="1"/>
  <c r="C3" i="21"/>
  <c r="C41" i="21" s="1"/>
  <c r="B3" i="21"/>
  <c r="B41" i="21" s="1"/>
  <c r="A3" i="21"/>
  <c r="H2" i="21"/>
  <c r="H40" i="21" s="1"/>
  <c r="G2" i="21"/>
  <c r="G40" i="21" s="1"/>
  <c r="F2" i="21"/>
  <c r="F40" i="21" s="1"/>
  <c r="E2" i="21"/>
  <c r="E40" i="21" s="1"/>
  <c r="D2" i="21"/>
  <c r="D40" i="21" s="1"/>
  <c r="C2" i="21"/>
  <c r="C40" i="21" s="1"/>
  <c r="B2" i="21"/>
  <c r="B40" i="21" s="1"/>
  <c r="O33" i="12"/>
  <c r="N33" i="12"/>
  <c r="H33" i="12"/>
  <c r="G33" i="12"/>
  <c r="E33" i="12"/>
  <c r="D33" i="12"/>
  <c r="B33" i="12"/>
  <c r="A33" i="12"/>
  <c r="A72" i="12" s="1"/>
  <c r="H32" i="12"/>
  <c r="G32" i="12"/>
  <c r="E32" i="12"/>
  <c r="D32" i="12"/>
  <c r="B32" i="12"/>
  <c r="A32" i="12"/>
  <c r="A71" i="12" s="1"/>
  <c r="O33" i="20"/>
  <c r="H33" i="20"/>
  <c r="G33" i="20"/>
  <c r="E33" i="20"/>
  <c r="D33" i="20"/>
  <c r="B33" i="20"/>
  <c r="A33" i="20"/>
  <c r="A72" i="20" s="1"/>
  <c r="AG72" i="20" s="1"/>
  <c r="AS72" i="20" s="1"/>
  <c r="BC72" i="20" s="1"/>
  <c r="H32" i="20"/>
  <c r="G32" i="20"/>
  <c r="E32" i="20"/>
  <c r="D32" i="20"/>
  <c r="B32" i="20"/>
  <c r="A32" i="20"/>
  <c r="A71" i="20" s="1"/>
  <c r="O33" i="10"/>
  <c r="H33" i="10"/>
  <c r="G33" i="10"/>
  <c r="E33" i="10"/>
  <c r="D33" i="10"/>
  <c r="B33" i="10"/>
  <c r="A33" i="10"/>
  <c r="A72" i="10" s="1"/>
  <c r="H32" i="10"/>
  <c r="G32" i="10"/>
  <c r="E32" i="10"/>
  <c r="D32" i="10"/>
  <c r="B32" i="10"/>
  <c r="A32" i="10"/>
  <c r="A71" i="10" s="1"/>
  <c r="N71" i="10" s="1"/>
  <c r="A33" i="9"/>
  <c r="A72" i="9" s="1"/>
  <c r="AF72" i="9" s="1"/>
  <c r="B33" i="9"/>
  <c r="D33" i="9"/>
  <c r="E33" i="9"/>
  <c r="G33" i="9"/>
  <c r="H33" i="9"/>
  <c r="H32" i="9"/>
  <c r="G32" i="9"/>
  <c r="E32" i="9"/>
  <c r="D32" i="9"/>
  <c r="B32" i="9"/>
  <c r="A32" i="9"/>
  <c r="A71" i="9" s="1"/>
  <c r="A32" i="7"/>
  <c r="A71" i="7" s="1"/>
  <c r="O71" i="7" s="1"/>
  <c r="AA71" i="7" s="1"/>
  <c r="B32" i="7"/>
  <c r="D32" i="7"/>
  <c r="E32" i="7"/>
  <c r="G32" i="7"/>
  <c r="H32" i="7"/>
  <c r="A33" i="7"/>
  <c r="A72" i="7" s="1"/>
  <c r="O72" i="7" s="1"/>
  <c r="AA72" i="7" s="1"/>
  <c r="B33" i="7"/>
  <c r="D33" i="7"/>
  <c r="E33" i="7"/>
  <c r="G33" i="7"/>
  <c r="H33" i="7"/>
  <c r="A32" i="19"/>
  <c r="A71" i="19" s="1"/>
  <c r="B32" i="19"/>
  <c r="D32" i="19"/>
  <c r="E32" i="19"/>
  <c r="G32" i="19"/>
  <c r="H32" i="19"/>
  <c r="A33" i="19"/>
  <c r="A72" i="19" s="1"/>
  <c r="B33" i="19"/>
  <c r="D33" i="19"/>
  <c r="E33" i="19"/>
  <c r="G33" i="19"/>
  <c r="H33" i="19"/>
  <c r="A32" i="4"/>
  <c r="A71" i="4" s="1"/>
  <c r="B32" i="4"/>
  <c r="D32" i="4"/>
  <c r="E32" i="4"/>
  <c r="G32" i="4"/>
  <c r="H32" i="4"/>
  <c r="A33" i="4"/>
  <c r="A72" i="4" s="1"/>
  <c r="B33" i="4"/>
  <c r="D33" i="4"/>
  <c r="E33" i="4"/>
  <c r="G33" i="4"/>
  <c r="H33" i="4"/>
  <c r="A71" i="1"/>
  <c r="O71" i="1" s="1"/>
  <c r="A72" i="1"/>
  <c r="O72" i="1" s="1"/>
  <c r="AK39" i="24"/>
  <c r="BR39" i="24" s="1"/>
  <c r="AW39" i="24" s="1"/>
  <c r="Q42" i="25"/>
  <c r="AD42" i="25" s="1"/>
  <c r="AN42" i="25" s="1"/>
  <c r="T42" i="25"/>
  <c r="AG42" i="25" s="1"/>
  <c r="AQ42" i="25" s="1"/>
  <c r="O7" i="22"/>
  <c r="O15" i="22"/>
  <c r="O19" i="22"/>
  <c r="O23" i="22"/>
  <c r="O27" i="22"/>
  <c r="O31" i="22"/>
  <c r="N8" i="23"/>
  <c r="N4" i="22"/>
  <c r="N12" i="22"/>
  <c r="O8" i="23"/>
  <c r="O3" i="22"/>
  <c r="O11" i="22"/>
  <c r="O3" i="24"/>
  <c r="N10" i="24"/>
  <c r="O11" i="24"/>
  <c r="N64" i="21"/>
  <c r="AF64" i="21"/>
  <c r="N68" i="21"/>
  <c r="AF68" i="21"/>
  <c r="N52" i="21"/>
  <c r="AF52" i="21"/>
  <c r="N45" i="21"/>
  <c r="N72" i="22"/>
  <c r="N52" i="23"/>
  <c r="AF44" i="21"/>
  <c r="AZ42" i="23"/>
  <c r="BJ42" i="23" s="1"/>
  <c r="AO42" i="23"/>
  <c r="BA42" i="23" s="1"/>
  <c r="BK42" i="23" s="1"/>
  <c r="AF57" i="21"/>
  <c r="N61" i="21"/>
  <c r="N48" i="23"/>
  <c r="AF69" i="21"/>
  <c r="N43" i="24"/>
  <c r="AG62" i="24"/>
  <c r="BN62" i="24" s="1"/>
  <c r="I26" i="8"/>
  <c r="AY42" i="20"/>
  <c r="BI42" i="20" s="1"/>
  <c r="AW42" i="20"/>
  <c r="BG42" i="20" s="1"/>
  <c r="AV42" i="20"/>
  <c r="BF42" i="20" s="1"/>
  <c r="AS42" i="20"/>
  <c r="BC42" i="20" s="1"/>
  <c r="Y42" i="20"/>
  <c r="X42" i="20"/>
  <c r="W42" i="20"/>
  <c r="V42" i="20"/>
  <c r="U42" i="20"/>
  <c r="T42" i="20"/>
  <c r="S42" i="20"/>
  <c r="R42" i="20"/>
  <c r="I42" i="20"/>
  <c r="Z42" i="20" s="1"/>
  <c r="BA41" i="20"/>
  <c r="BK41" i="20" s="1"/>
  <c r="AS41" i="20"/>
  <c r="Z41" i="20"/>
  <c r="R41" i="20"/>
  <c r="O31" i="20"/>
  <c r="H31" i="20"/>
  <c r="G31" i="20"/>
  <c r="E31" i="20"/>
  <c r="D31" i="20"/>
  <c r="B31" i="20"/>
  <c r="A31" i="20"/>
  <c r="A70" i="20" s="1"/>
  <c r="H30" i="20"/>
  <c r="G30" i="20"/>
  <c r="E30" i="20"/>
  <c r="D30" i="20"/>
  <c r="B30" i="20"/>
  <c r="A30" i="20"/>
  <c r="A69" i="20" s="1"/>
  <c r="R69" i="20" s="1"/>
  <c r="O29" i="20"/>
  <c r="H29" i="20"/>
  <c r="G29" i="20"/>
  <c r="E29" i="20"/>
  <c r="D29" i="20"/>
  <c r="B29" i="20"/>
  <c r="A29" i="20"/>
  <c r="A68" i="20" s="1"/>
  <c r="N68" i="20" s="1"/>
  <c r="H28" i="20"/>
  <c r="G28" i="20"/>
  <c r="E28" i="20"/>
  <c r="D28" i="20"/>
  <c r="B28" i="20"/>
  <c r="A28" i="20"/>
  <c r="A67" i="20" s="1"/>
  <c r="O27" i="20"/>
  <c r="H27" i="20"/>
  <c r="G27" i="20"/>
  <c r="E27" i="20"/>
  <c r="D27" i="20"/>
  <c r="B27" i="20"/>
  <c r="A27" i="20"/>
  <c r="A66" i="20" s="1"/>
  <c r="H26" i="20"/>
  <c r="G26" i="20"/>
  <c r="E26" i="20"/>
  <c r="D26" i="20"/>
  <c r="B26" i="20"/>
  <c r="A26" i="20"/>
  <c r="A65" i="20" s="1"/>
  <c r="O25" i="20"/>
  <c r="H25" i="20"/>
  <c r="G25" i="20"/>
  <c r="E25" i="20"/>
  <c r="D25" i="20"/>
  <c r="B25" i="20"/>
  <c r="A25" i="20"/>
  <c r="A64" i="20" s="1"/>
  <c r="N24" i="20"/>
  <c r="H24" i="20"/>
  <c r="G24" i="20"/>
  <c r="E24" i="20"/>
  <c r="D24" i="20"/>
  <c r="B24" i="20"/>
  <c r="A24" i="20"/>
  <c r="A63" i="20" s="1"/>
  <c r="AG63" i="20" s="1"/>
  <c r="AS63" i="20" s="1"/>
  <c r="BC63" i="20" s="1"/>
  <c r="O23" i="20"/>
  <c r="H23" i="20"/>
  <c r="G23" i="20"/>
  <c r="E23" i="20"/>
  <c r="D23" i="20"/>
  <c r="B23" i="20"/>
  <c r="A23" i="20"/>
  <c r="A62" i="20" s="1"/>
  <c r="R62" i="20" s="1"/>
  <c r="N22" i="20"/>
  <c r="H22" i="20"/>
  <c r="G22" i="20"/>
  <c r="E22" i="20"/>
  <c r="D22" i="20"/>
  <c r="B22" i="20"/>
  <c r="A22" i="20"/>
  <c r="A61" i="20" s="1"/>
  <c r="O21" i="20"/>
  <c r="H21" i="20"/>
  <c r="G21" i="20"/>
  <c r="E21" i="20"/>
  <c r="D21" i="20"/>
  <c r="B21" i="20"/>
  <c r="A21" i="20"/>
  <c r="A60" i="20" s="1"/>
  <c r="N20" i="20"/>
  <c r="H20" i="20"/>
  <c r="G20" i="20"/>
  <c r="E20" i="20"/>
  <c r="D20" i="20"/>
  <c r="B20" i="20"/>
  <c r="A20" i="20"/>
  <c r="A59" i="20" s="1"/>
  <c r="R59" i="20" s="1"/>
  <c r="O19" i="20"/>
  <c r="H19" i="20"/>
  <c r="G19" i="20"/>
  <c r="E19" i="20"/>
  <c r="D19" i="20"/>
  <c r="B19" i="20"/>
  <c r="A19" i="20"/>
  <c r="A58" i="20" s="1"/>
  <c r="R58" i="20" s="1"/>
  <c r="H18" i="20"/>
  <c r="G18" i="20"/>
  <c r="E18" i="20"/>
  <c r="D18" i="20"/>
  <c r="B18" i="20"/>
  <c r="A18" i="20"/>
  <c r="A57" i="20" s="1"/>
  <c r="N57" i="20" s="1"/>
  <c r="O17" i="20"/>
  <c r="H17" i="20"/>
  <c r="G17" i="20"/>
  <c r="E17" i="20"/>
  <c r="D17" i="20"/>
  <c r="B17" i="20"/>
  <c r="A17" i="20"/>
  <c r="A56" i="20" s="1"/>
  <c r="R56" i="20" s="1"/>
  <c r="H16" i="20"/>
  <c r="G16" i="20"/>
  <c r="E16" i="20"/>
  <c r="D16" i="20"/>
  <c r="B16" i="20"/>
  <c r="A16" i="20"/>
  <c r="A55" i="20" s="1"/>
  <c r="O15" i="20"/>
  <c r="H15" i="20"/>
  <c r="G15" i="20"/>
  <c r="E15" i="20"/>
  <c r="D15" i="20"/>
  <c r="B15" i="20"/>
  <c r="A15" i="20"/>
  <c r="A54" i="20" s="1"/>
  <c r="H14" i="20"/>
  <c r="G14" i="20"/>
  <c r="C14" i="20"/>
  <c r="B14" i="20"/>
  <c r="A14" i="20"/>
  <c r="A53" i="20" s="1"/>
  <c r="N53" i="20" s="1"/>
  <c r="O13" i="20"/>
  <c r="H13" i="20"/>
  <c r="G13" i="20"/>
  <c r="C13" i="20"/>
  <c r="B13" i="20"/>
  <c r="A13" i="20"/>
  <c r="A52" i="20" s="1"/>
  <c r="R52" i="20" s="1"/>
  <c r="H12" i="20"/>
  <c r="F12" i="20"/>
  <c r="C12" i="20"/>
  <c r="B12" i="20"/>
  <c r="A12" i="20"/>
  <c r="A51" i="20" s="1"/>
  <c r="N51" i="20" s="1"/>
  <c r="O11" i="20"/>
  <c r="H11" i="20"/>
  <c r="F11" i="20"/>
  <c r="C11" i="20"/>
  <c r="B11" i="20"/>
  <c r="A11" i="20"/>
  <c r="A50" i="20" s="1"/>
  <c r="R50" i="20" s="1"/>
  <c r="H10" i="20"/>
  <c r="F10" i="20"/>
  <c r="C10" i="20"/>
  <c r="B10" i="20"/>
  <c r="A10" i="20"/>
  <c r="A49" i="20" s="1"/>
  <c r="O9" i="20"/>
  <c r="H9" i="20"/>
  <c r="F9" i="20"/>
  <c r="C9" i="20"/>
  <c r="B9" i="20"/>
  <c r="A9" i="20"/>
  <c r="A48" i="20" s="1"/>
  <c r="H8" i="20"/>
  <c r="F8" i="20"/>
  <c r="C8" i="20"/>
  <c r="B8" i="20"/>
  <c r="A8" i="20"/>
  <c r="A47" i="20" s="1"/>
  <c r="N47" i="20" s="1"/>
  <c r="O7" i="20"/>
  <c r="H7" i="20"/>
  <c r="F7" i="20"/>
  <c r="C7" i="20"/>
  <c r="B7" i="20"/>
  <c r="A7" i="20"/>
  <c r="A46" i="20" s="1"/>
  <c r="AG46" i="20" s="1"/>
  <c r="AS46" i="20" s="1"/>
  <c r="BC46" i="20" s="1"/>
  <c r="H6" i="20"/>
  <c r="F6" i="20"/>
  <c r="C6" i="20"/>
  <c r="B6" i="20"/>
  <c r="A6" i="20"/>
  <c r="A45" i="20" s="1"/>
  <c r="AG45" i="20" s="1"/>
  <c r="AS45" i="20" s="1"/>
  <c r="BC45" i="20" s="1"/>
  <c r="O5" i="20"/>
  <c r="H5" i="20"/>
  <c r="F5" i="20"/>
  <c r="C5" i="20"/>
  <c r="B5" i="20"/>
  <c r="A5" i="20"/>
  <c r="A44" i="20" s="1"/>
  <c r="H4" i="20"/>
  <c r="H43" i="20" s="1"/>
  <c r="F4" i="20"/>
  <c r="F43" i="20" s="1"/>
  <c r="C4" i="20"/>
  <c r="C43" i="20" s="1"/>
  <c r="B4" i="20"/>
  <c r="B43" i="20" s="1"/>
  <c r="A4" i="20"/>
  <c r="A43" i="20" s="1"/>
  <c r="H3" i="20"/>
  <c r="H41" i="20" s="1"/>
  <c r="G3" i="20"/>
  <c r="G41" i="20" s="1"/>
  <c r="X41" i="20" s="1"/>
  <c r="F3" i="20"/>
  <c r="F41" i="20" s="1"/>
  <c r="E3" i="20"/>
  <c r="E41" i="20" s="1"/>
  <c r="D3" i="20"/>
  <c r="D41" i="20" s="1"/>
  <c r="AJ41" i="20" s="1"/>
  <c r="AV41" i="20" s="1"/>
  <c r="BF41" i="20" s="1"/>
  <c r="C3" i="20"/>
  <c r="C41" i="20" s="1"/>
  <c r="B3" i="20"/>
  <c r="B41" i="20" s="1"/>
  <c r="A3" i="20"/>
  <c r="H2" i="20"/>
  <c r="H40" i="20" s="1"/>
  <c r="G2" i="20"/>
  <c r="G40" i="20" s="1"/>
  <c r="F2" i="20"/>
  <c r="F40" i="20" s="1"/>
  <c r="AL40" i="20" s="1"/>
  <c r="AX40" i="20" s="1"/>
  <c r="BH40" i="20" s="1"/>
  <c r="E2" i="20"/>
  <c r="E40" i="20" s="1"/>
  <c r="V40" i="20" s="1"/>
  <c r="D2" i="20"/>
  <c r="D40" i="20" s="1"/>
  <c r="U40" i="20" s="1"/>
  <c r="C2" i="20"/>
  <c r="C40" i="20" s="1"/>
  <c r="AI40" i="20" s="1"/>
  <c r="AU40" i="20" s="1"/>
  <c r="BE40" i="20" s="1"/>
  <c r="B2" i="20"/>
  <c r="B40" i="20" s="1"/>
  <c r="AB42" i="19"/>
  <c r="AL42" i="19" s="1"/>
  <c r="U42" i="19"/>
  <c r="AH42" i="19" s="1"/>
  <c r="AR42" i="19" s="1"/>
  <c r="S42" i="19"/>
  <c r="AF42" i="19" s="1"/>
  <c r="AP42" i="19" s="1"/>
  <c r="R42" i="19"/>
  <c r="AE42" i="19" s="1"/>
  <c r="AO42" i="19" s="1"/>
  <c r="H42" i="19"/>
  <c r="F42" i="19"/>
  <c r="C42" i="19"/>
  <c r="B42" i="19"/>
  <c r="AJ41" i="19"/>
  <c r="AT41" i="19" s="1"/>
  <c r="AB41" i="19"/>
  <c r="H31" i="19"/>
  <c r="G31" i="19"/>
  <c r="E31" i="19"/>
  <c r="D31" i="19"/>
  <c r="B31" i="19"/>
  <c r="A31" i="19"/>
  <c r="A70" i="19" s="1"/>
  <c r="H30" i="19"/>
  <c r="G30" i="19"/>
  <c r="E30" i="19"/>
  <c r="D30" i="19"/>
  <c r="B30" i="19"/>
  <c r="A30" i="19"/>
  <c r="A69" i="19" s="1"/>
  <c r="H29" i="19"/>
  <c r="G29" i="19"/>
  <c r="E29" i="19"/>
  <c r="D29" i="19"/>
  <c r="B29" i="19"/>
  <c r="A29" i="19"/>
  <c r="A68" i="19" s="1"/>
  <c r="H28" i="19"/>
  <c r="G28" i="19"/>
  <c r="E28" i="19"/>
  <c r="D28" i="19"/>
  <c r="B28" i="19"/>
  <c r="A28" i="19"/>
  <c r="A67" i="19" s="1"/>
  <c r="O67" i="19" s="1"/>
  <c r="AB67" i="19" s="1"/>
  <c r="H27" i="19"/>
  <c r="G27" i="19"/>
  <c r="E27" i="19"/>
  <c r="D27" i="19"/>
  <c r="B27" i="19"/>
  <c r="A27" i="19"/>
  <c r="A66" i="19" s="1"/>
  <c r="O66" i="19" s="1"/>
  <c r="AB66" i="19" s="1"/>
  <c r="H26" i="19"/>
  <c r="G26" i="19"/>
  <c r="E26" i="19"/>
  <c r="D26" i="19"/>
  <c r="B26" i="19"/>
  <c r="A26" i="19"/>
  <c r="A65" i="19" s="1"/>
  <c r="AL65" i="19" s="1"/>
  <c r="H25" i="19"/>
  <c r="G25" i="19"/>
  <c r="E25" i="19"/>
  <c r="D25" i="19"/>
  <c r="B25" i="19"/>
  <c r="A25" i="19"/>
  <c r="A64" i="19" s="1"/>
  <c r="AL64" i="19" s="1"/>
  <c r="H24" i="19"/>
  <c r="G24" i="19"/>
  <c r="E24" i="19"/>
  <c r="D24" i="19"/>
  <c r="B24" i="19"/>
  <c r="A24" i="19"/>
  <c r="A63" i="19" s="1"/>
  <c r="H23" i="19"/>
  <c r="G23" i="19"/>
  <c r="E23" i="19"/>
  <c r="D23" i="19"/>
  <c r="B23" i="19"/>
  <c r="A23" i="19"/>
  <c r="A62" i="19" s="1"/>
  <c r="AL62" i="19" s="1"/>
  <c r="H22" i="19"/>
  <c r="G22" i="19"/>
  <c r="E22" i="19"/>
  <c r="D22" i="19"/>
  <c r="B22" i="19"/>
  <c r="A22" i="19"/>
  <c r="A61" i="19" s="1"/>
  <c r="O61" i="19" s="1"/>
  <c r="AB61" i="19" s="1"/>
  <c r="H21" i="19"/>
  <c r="G21" i="19"/>
  <c r="E21" i="19"/>
  <c r="D21" i="19"/>
  <c r="B21" i="19"/>
  <c r="A21" i="19"/>
  <c r="A60" i="19" s="1"/>
  <c r="H20" i="19"/>
  <c r="G20" i="19"/>
  <c r="E20" i="19"/>
  <c r="D20" i="19"/>
  <c r="B20" i="19"/>
  <c r="A20" i="19"/>
  <c r="A59" i="19" s="1"/>
  <c r="H19" i="19"/>
  <c r="G19" i="19"/>
  <c r="E19" i="19"/>
  <c r="D19" i="19"/>
  <c r="B19" i="19"/>
  <c r="A19" i="19"/>
  <c r="A58" i="19" s="1"/>
  <c r="O58" i="19" s="1"/>
  <c r="AB58" i="19" s="1"/>
  <c r="H18" i="19"/>
  <c r="G18" i="19"/>
  <c r="E18" i="19"/>
  <c r="D18" i="19"/>
  <c r="B18" i="19"/>
  <c r="A18" i="19"/>
  <c r="A57" i="19" s="1"/>
  <c r="AL57" i="19" s="1"/>
  <c r="H17" i="19"/>
  <c r="G17" i="19"/>
  <c r="E17" i="19"/>
  <c r="D17" i="19"/>
  <c r="B17" i="19"/>
  <c r="A17" i="19"/>
  <c r="A56" i="19" s="1"/>
  <c r="H16" i="19"/>
  <c r="G16" i="19"/>
  <c r="E16" i="19"/>
  <c r="D16" i="19"/>
  <c r="B16" i="19"/>
  <c r="A16" i="19"/>
  <c r="A55" i="19" s="1"/>
  <c r="O55" i="19" s="1"/>
  <c r="AB55" i="19" s="1"/>
  <c r="H15" i="19"/>
  <c r="G15" i="19"/>
  <c r="E15" i="19"/>
  <c r="D15" i="19"/>
  <c r="B15" i="19"/>
  <c r="A15" i="19"/>
  <c r="A54" i="19" s="1"/>
  <c r="AL54" i="19" s="1"/>
  <c r="H14" i="19"/>
  <c r="G14" i="19"/>
  <c r="G53" i="19" s="1"/>
  <c r="C14" i="19"/>
  <c r="B14" i="19"/>
  <c r="A14" i="19"/>
  <c r="A53" i="19" s="1"/>
  <c r="AL53" i="19" s="1"/>
  <c r="H13" i="19"/>
  <c r="G13" i="19"/>
  <c r="C13" i="19"/>
  <c r="B13" i="19"/>
  <c r="A13" i="19"/>
  <c r="A52" i="19" s="1"/>
  <c r="H12" i="19"/>
  <c r="F12" i="19"/>
  <c r="C12" i="19"/>
  <c r="B12" i="19"/>
  <c r="A12" i="19"/>
  <c r="A51" i="19" s="1"/>
  <c r="H11" i="19"/>
  <c r="F11" i="19"/>
  <c r="C11" i="19"/>
  <c r="B11" i="19"/>
  <c r="A11" i="19"/>
  <c r="A50" i="19" s="1"/>
  <c r="H10" i="19"/>
  <c r="F10" i="19"/>
  <c r="C10" i="19"/>
  <c r="B10" i="19"/>
  <c r="A10" i="19"/>
  <c r="A49" i="19" s="1"/>
  <c r="AL49" i="19" s="1"/>
  <c r="H9" i="19"/>
  <c r="F9" i="19"/>
  <c r="C9" i="19"/>
  <c r="B9" i="19"/>
  <c r="A9" i="19"/>
  <c r="A48" i="19" s="1"/>
  <c r="H8" i="19"/>
  <c r="F8" i="19"/>
  <c r="C8" i="19"/>
  <c r="B8" i="19"/>
  <c r="A8" i="19"/>
  <c r="A47" i="19" s="1"/>
  <c r="O47" i="19" s="1"/>
  <c r="AB47" i="19" s="1"/>
  <c r="H7" i="19"/>
  <c r="F7" i="19"/>
  <c r="C7" i="19"/>
  <c r="B7" i="19"/>
  <c r="A7" i="19"/>
  <c r="A46" i="19" s="1"/>
  <c r="O46" i="19" s="1"/>
  <c r="AB46" i="19" s="1"/>
  <c r="H6" i="19"/>
  <c r="F6" i="19"/>
  <c r="C6" i="19"/>
  <c r="B6" i="19"/>
  <c r="A6" i="19"/>
  <c r="A45" i="19" s="1"/>
  <c r="AL45" i="19" s="1"/>
  <c r="H5" i="19"/>
  <c r="F5" i="19"/>
  <c r="C5" i="19"/>
  <c r="B5" i="19"/>
  <c r="A5" i="19"/>
  <c r="A44" i="19" s="1"/>
  <c r="H4" i="19"/>
  <c r="F4" i="19"/>
  <c r="C4" i="19"/>
  <c r="B4" i="19"/>
  <c r="A4" i="19"/>
  <c r="A43" i="19" s="1"/>
  <c r="H3" i="19"/>
  <c r="H41" i="19" s="1"/>
  <c r="V41" i="19" s="1"/>
  <c r="AI41" i="19" s="1"/>
  <c r="AS41" i="19" s="1"/>
  <c r="G3" i="19"/>
  <c r="G41" i="19" s="1"/>
  <c r="U41" i="19" s="1"/>
  <c r="AH41" i="19" s="1"/>
  <c r="AR41" i="19" s="1"/>
  <c r="F3" i="19"/>
  <c r="F41" i="19" s="1"/>
  <c r="T41" i="19" s="1"/>
  <c r="AG41" i="19" s="1"/>
  <c r="AQ41" i="19" s="1"/>
  <c r="E3" i="19"/>
  <c r="E41" i="19" s="1"/>
  <c r="S41" i="19" s="1"/>
  <c r="AF41" i="19" s="1"/>
  <c r="AP41" i="19" s="1"/>
  <c r="D3" i="19"/>
  <c r="D41" i="19" s="1"/>
  <c r="R41" i="19" s="1"/>
  <c r="AE41" i="19" s="1"/>
  <c r="AO41" i="19" s="1"/>
  <c r="C3" i="19"/>
  <c r="C41" i="19" s="1"/>
  <c r="Q41" i="19" s="1"/>
  <c r="AD41" i="19" s="1"/>
  <c r="AN41" i="19" s="1"/>
  <c r="B3" i="19"/>
  <c r="B41" i="19" s="1"/>
  <c r="P41" i="19" s="1"/>
  <c r="AC41" i="19" s="1"/>
  <c r="AM41" i="19" s="1"/>
  <c r="A3" i="19"/>
  <c r="H2" i="19"/>
  <c r="H40" i="19" s="1"/>
  <c r="V40" i="19" s="1"/>
  <c r="AI40" i="19" s="1"/>
  <c r="AS40" i="19" s="1"/>
  <c r="G2" i="19"/>
  <c r="G40" i="19" s="1"/>
  <c r="U40" i="19" s="1"/>
  <c r="AH40" i="19" s="1"/>
  <c r="AR40" i="19" s="1"/>
  <c r="F2" i="19"/>
  <c r="F40" i="19" s="1"/>
  <c r="T40" i="19" s="1"/>
  <c r="AG40" i="19" s="1"/>
  <c r="AQ40" i="19" s="1"/>
  <c r="E2" i="19"/>
  <c r="E40" i="19" s="1"/>
  <c r="S40" i="19" s="1"/>
  <c r="AF40" i="19" s="1"/>
  <c r="AP40" i="19" s="1"/>
  <c r="D2" i="19"/>
  <c r="D40" i="19" s="1"/>
  <c r="R40" i="19" s="1"/>
  <c r="AE40" i="19" s="1"/>
  <c r="AO40" i="19" s="1"/>
  <c r="C2" i="19"/>
  <c r="C40" i="19" s="1"/>
  <c r="Q40" i="19" s="1"/>
  <c r="AD40" i="19" s="1"/>
  <c r="AN40" i="19" s="1"/>
  <c r="B2" i="19"/>
  <c r="B40" i="19" s="1"/>
  <c r="P40" i="19" s="1"/>
  <c r="AC40" i="19" s="1"/>
  <c r="AM40" i="19" s="1"/>
  <c r="AH42" i="20"/>
  <c r="AT42" i="20" s="1"/>
  <c r="BD42" i="20" s="1"/>
  <c r="AG60" i="20"/>
  <c r="AS60" i="20" s="1"/>
  <c r="BC60" i="20" s="1"/>
  <c r="AL61" i="19"/>
  <c r="O31" i="12"/>
  <c r="A31" i="12"/>
  <c r="A70" i="12" s="1"/>
  <c r="R70" i="12" s="1"/>
  <c r="B31" i="12"/>
  <c r="D31" i="12"/>
  <c r="E31" i="12"/>
  <c r="G31" i="12"/>
  <c r="H31" i="12"/>
  <c r="A31" i="10"/>
  <c r="A70" i="10" s="1"/>
  <c r="H31" i="10"/>
  <c r="G31" i="10"/>
  <c r="E31" i="10"/>
  <c r="D31" i="10"/>
  <c r="B31" i="10"/>
  <c r="H30" i="10"/>
  <c r="G30" i="10"/>
  <c r="E30" i="10"/>
  <c r="D30" i="10"/>
  <c r="B30" i="10"/>
  <c r="A30" i="10"/>
  <c r="A69" i="10" s="1"/>
  <c r="R69" i="10" s="1"/>
  <c r="H29" i="10"/>
  <c r="G29" i="10"/>
  <c r="E29" i="10"/>
  <c r="D29" i="10"/>
  <c r="B29" i="10"/>
  <c r="A29" i="10"/>
  <c r="A68" i="10" s="1"/>
  <c r="R68" i="10" s="1"/>
  <c r="H28" i="10"/>
  <c r="G28" i="10"/>
  <c r="E28" i="10"/>
  <c r="D28" i="10"/>
  <c r="B28" i="10"/>
  <c r="A28" i="10"/>
  <c r="A67" i="10" s="1"/>
  <c r="AG67" i="10" s="1"/>
  <c r="AS67" i="10" s="1"/>
  <c r="BC67" i="10" s="1"/>
  <c r="H27" i="10"/>
  <c r="G27" i="10"/>
  <c r="E27" i="10"/>
  <c r="D27" i="10"/>
  <c r="B27" i="10"/>
  <c r="A27" i="10"/>
  <c r="A66" i="10" s="1"/>
  <c r="H26" i="10"/>
  <c r="G26" i="10"/>
  <c r="E26" i="10"/>
  <c r="D26" i="10"/>
  <c r="B26" i="10"/>
  <c r="A26" i="10"/>
  <c r="A65" i="10" s="1"/>
  <c r="H25" i="10"/>
  <c r="G25" i="10"/>
  <c r="E25" i="10"/>
  <c r="D25" i="10"/>
  <c r="B25" i="10"/>
  <c r="A25" i="10"/>
  <c r="A64" i="10" s="1"/>
  <c r="H24" i="10"/>
  <c r="G24" i="10"/>
  <c r="E24" i="10"/>
  <c r="D24" i="10"/>
  <c r="B24" i="10"/>
  <c r="A24" i="10"/>
  <c r="A63" i="10" s="1"/>
  <c r="H23" i="10"/>
  <c r="G23" i="10"/>
  <c r="E23" i="10"/>
  <c r="D23" i="10"/>
  <c r="B23" i="10"/>
  <c r="A23" i="10"/>
  <c r="A62" i="10" s="1"/>
  <c r="H22" i="10"/>
  <c r="G22" i="10"/>
  <c r="E22" i="10"/>
  <c r="D22" i="10"/>
  <c r="B22" i="10"/>
  <c r="A22" i="10"/>
  <c r="A61" i="10" s="1"/>
  <c r="H21" i="10"/>
  <c r="G21" i="10"/>
  <c r="E21" i="10"/>
  <c r="D21" i="10"/>
  <c r="B21" i="10"/>
  <c r="A21" i="10"/>
  <c r="A60" i="10" s="1"/>
  <c r="H20" i="10"/>
  <c r="G20" i="10"/>
  <c r="E20" i="10"/>
  <c r="D20" i="10"/>
  <c r="B20" i="10"/>
  <c r="A20" i="10"/>
  <c r="A59" i="10" s="1"/>
  <c r="H19" i="10"/>
  <c r="G19" i="10"/>
  <c r="E19" i="10"/>
  <c r="D19" i="10"/>
  <c r="B19" i="10"/>
  <c r="A19" i="10"/>
  <c r="A58" i="10" s="1"/>
  <c r="H18" i="10"/>
  <c r="G18" i="10"/>
  <c r="E18" i="10"/>
  <c r="D18" i="10"/>
  <c r="B18" i="10"/>
  <c r="A18" i="10"/>
  <c r="A57" i="10" s="1"/>
  <c r="H17" i="10"/>
  <c r="G17" i="10"/>
  <c r="E17" i="10"/>
  <c r="D17" i="10"/>
  <c r="B17" i="10"/>
  <c r="A17" i="10"/>
  <c r="A56" i="10" s="1"/>
  <c r="AG56" i="10" s="1"/>
  <c r="AS56" i="10" s="1"/>
  <c r="BC56" i="10" s="1"/>
  <c r="H16" i="10"/>
  <c r="G16" i="10"/>
  <c r="E16" i="10"/>
  <c r="D16" i="10"/>
  <c r="B16" i="10"/>
  <c r="A16" i="10"/>
  <c r="A55" i="10" s="1"/>
  <c r="A5" i="10"/>
  <c r="A44" i="10" s="1"/>
  <c r="AG44" i="10" s="1"/>
  <c r="AS44" i="10" s="1"/>
  <c r="BC44" i="10" s="1"/>
  <c r="A6" i="10"/>
  <c r="A45" i="10" s="1"/>
  <c r="A7" i="10"/>
  <c r="A46" i="10" s="1"/>
  <c r="A8" i="10"/>
  <c r="A47" i="10" s="1"/>
  <c r="A9" i="10"/>
  <c r="A48" i="10" s="1"/>
  <c r="A10" i="10"/>
  <c r="A49" i="10" s="1"/>
  <c r="A11" i="10"/>
  <c r="A50" i="10" s="1"/>
  <c r="R50" i="10" s="1"/>
  <c r="A12" i="10"/>
  <c r="A51" i="10" s="1"/>
  <c r="A13" i="10"/>
  <c r="A52" i="10" s="1"/>
  <c r="R52" i="10" s="1"/>
  <c r="A14" i="10"/>
  <c r="A53" i="10" s="1"/>
  <c r="AG53" i="10" s="1"/>
  <c r="AS53" i="10" s="1"/>
  <c r="BC53" i="10" s="1"/>
  <c r="A15" i="10"/>
  <c r="A54" i="10" s="1"/>
  <c r="N54" i="10" s="1"/>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H43" i="10" s="1"/>
  <c r="F4" i="10"/>
  <c r="F43" i="10" s="1"/>
  <c r="C4" i="10"/>
  <c r="C43" i="10" s="1"/>
  <c r="B4" i="10"/>
  <c r="B43" i="10" s="1"/>
  <c r="A4" i="10"/>
  <c r="A43" i="10" s="1"/>
  <c r="AG43" i="10" s="1"/>
  <c r="AS43" i="10" s="1"/>
  <c r="BC43" i="10" s="1"/>
  <c r="A69" i="1"/>
  <c r="O69" i="1" s="1"/>
  <c r="A70" i="1"/>
  <c r="O70" i="1" s="1"/>
  <c r="O31" i="10"/>
  <c r="H31" i="9"/>
  <c r="G31" i="9"/>
  <c r="E31" i="9"/>
  <c r="D31" i="9"/>
  <c r="B31" i="9"/>
  <c r="A31" i="9"/>
  <c r="A70" i="9" s="1"/>
  <c r="N70" i="9" s="1"/>
  <c r="H31" i="7"/>
  <c r="G31" i="7"/>
  <c r="E31" i="7"/>
  <c r="D31" i="7"/>
  <c r="B31" i="7"/>
  <c r="A31" i="7"/>
  <c r="A70" i="7" s="1"/>
  <c r="O70" i="7" s="1"/>
  <c r="AA70" i="7" s="1"/>
  <c r="H31" i="4"/>
  <c r="G31" i="4"/>
  <c r="E31" i="4"/>
  <c r="D31" i="4"/>
  <c r="B31" i="4"/>
  <c r="A31" i="4"/>
  <c r="A70" i="4" s="1"/>
  <c r="O70" i="4" s="1"/>
  <c r="AB70" i="4" s="1"/>
  <c r="A29" i="12"/>
  <c r="A68" i="12" s="1"/>
  <c r="AG68" i="12" s="1"/>
  <c r="B29" i="12"/>
  <c r="D29" i="12"/>
  <c r="E29" i="12"/>
  <c r="G29" i="12"/>
  <c r="H29" i="12"/>
  <c r="O29" i="12"/>
  <c r="A30" i="12"/>
  <c r="A69" i="12" s="1"/>
  <c r="R69" i="12" s="1"/>
  <c r="B30" i="12"/>
  <c r="D30" i="12"/>
  <c r="E30" i="12"/>
  <c r="G30" i="12"/>
  <c r="H30" i="12"/>
  <c r="O29" i="10"/>
  <c r="A30" i="9"/>
  <c r="A69" i="9" s="1"/>
  <c r="R69" i="9" s="1"/>
  <c r="B30" i="9"/>
  <c r="D30" i="9"/>
  <c r="E30" i="9"/>
  <c r="G30" i="9"/>
  <c r="H30" i="9"/>
  <c r="A5" i="7"/>
  <c r="A44" i="7" s="1"/>
  <c r="O44" i="7" s="1"/>
  <c r="AA44" i="7" s="1"/>
  <c r="A6" i="7"/>
  <c r="A45" i="7" s="1"/>
  <c r="O45" i="7" s="1"/>
  <c r="AA45" i="7" s="1"/>
  <c r="A7" i="7"/>
  <c r="A46" i="7" s="1"/>
  <c r="O46" i="7" s="1"/>
  <c r="AA46" i="7" s="1"/>
  <c r="A8" i="7"/>
  <c r="A47" i="7" s="1"/>
  <c r="O47" i="7" s="1"/>
  <c r="AA47" i="7" s="1"/>
  <c r="A9" i="7"/>
  <c r="A48" i="7" s="1"/>
  <c r="O48" i="7" s="1"/>
  <c r="AA48" i="7" s="1"/>
  <c r="A10" i="7"/>
  <c r="A49" i="7" s="1"/>
  <c r="O49" i="7" s="1"/>
  <c r="AA49" i="7" s="1"/>
  <c r="A11" i="7"/>
  <c r="A50" i="7" s="1"/>
  <c r="O50" i="7" s="1"/>
  <c r="AA50" i="7" s="1"/>
  <c r="A12" i="7"/>
  <c r="A51" i="7" s="1"/>
  <c r="O51" i="7" s="1"/>
  <c r="AA51" i="7" s="1"/>
  <c r="A13" i="7"/>
  <c r="A52" i="7" s="1"/>
  <c r="O52" i="7" s="1"/>
  <c r="AA52" i="7" s="1"/>
  <c r="A14" i="7"/>
  <c r="A53" i="7" s="1"/>
  <c r="O53" i="7" s="1"/>
  <c r="AA53" i="7" s="1"/>
  <c r="A15" i="7"/>
  <c r="A54" i="7" s="1"/>
  <c r="O54" i="7" s="1"/>
  <c r="AA54" i="7" s="1"/>
  <c r="A16" i="7"/>
  <c r="A55" i="7" s="1"/>
  <c r="O55" i="7" s="1"/>
  <c r="AA55" i="7" s="1"/>
  <c r="A17" i="7"/>
  <c r="A56" i="7" s="1"/>
  <c r="O56" i="7" s="1"/>
  <c r="AA56" i="7" s="1"/>
  <c r="A18" i="7"/>
  <c r="A57" i="7" s="1"/>
  <c r="O57" i="7" s="1"/>
  <c r="AA57" i="7" s="1"/>
  <c r="A19" i="7"/>
  <c r="A58" i="7" s="1"/>
  <c r="O58" i="7" s="1"/>
  <c r="AA58" i="7" s="1"/>
  <c r="A20" i="7"/>
  <c r="A59" i="7" s="1"/>
  <c r="O59" i="7" s="1"/>
  <c r="AA59" i="7" s="1"/>
  <c r="A21" i="7"/>
  <c r="A60" i="7" s="1"/>
  <c r="O60" i="7" s="1"/>
  <c r="AA60" i="7" s="1"/>
  <c r="A22" i="7"/>
  <c r="A61" i="7" s="1"/>
  <c r="O61" i="7" s="1"/>
  <c r="AA61" i="7" s="1"/>
  <c r="A23" i="7"/>
  <c r="A62" i="7" s="1"/>
  <c r="O62" i="7" s="1"/>
  <c r="AA62" i="7" s="1"/>
  <c r="A24" i="7"/>
  <c r="A63" i="7" s="1"/>
  <c r="O63" i="7" s="1"/>
  <c r="AA63" i="7" s="1"/>
  <c r="A25" i="7"/>
  <c r="A64" i="7" s="1"/>
  <c r="O64" i="7" s="1"/>
  <c r="AA64" i="7" s="1"/>
  <c r="A26" i="7"/>
  <c r="A65" i="7" s="1"/>
  <c r="O65" i="7" s="1"/>
  <c r="AA65" i="7" s="1"/>
  <c r="A27" i="7"/>
  <c r="A66" i="7" s="1"/>
  <c r="O66" i="7" s="1"/>
  <c r="AA66" i="7" s="1"/>
  <c r="A28" i="7"/>
  <c r="A67" i="7" s="1"/>
  <c r="O67" i="7" s="1"/>
  <c r="AA67" i="7" s="1"/>
  <c r="A29" i="7"/>
  <c r="A68" i="7" s="1"/>
  <c r="O68" i="7" s="1"/>
  <c r="AA68" i="7" s="1"/>
  <c r="A30" i="7"/>
  <c r="A69" i="7" s="1"/>
  <c r="O69" i="7" s="1"/>
  <c r="AA69" i="7" s="1"/>
  <c r="B30" i="7"/>
  <c r="D30" i="7"/>
  <c r="E30" i="7"/>
  <c r="G30" i="7"/>
  <c r="H30" i="7"/>
  <c r="A30" i="4"/>
  <c r="A69" i="4" s="1"/>
  <c r="O69" i="4" s="1"/>
  <c r="AB69" i="4" s="1"/>
  <c r="B30" i="4"/>
  <c r="D30" i="4"/>
  <c r="E30" i="4"/>
  <c r="G30" i="4"/>
  <c r="H30" i="4"/>
  <c r="A68" i="1"/>
  <c r="O68" i="1" s="1"/>
  <c r="B1" i="14"/>
  <c r="C1" i="14"/>
  <c r="D1" i="14"/>
  <c r="A35" i="8"/>
  <c r="P35" i="8" s="1"/>
  <c r="A36" i="8"/>
  <c r="A34" i="8"/>
  <c r="P34" i="8" s="1"/>
  <c r="B4" i="9"/>
  <c r="B43" i="9" s="1"/>
  <c r="C4" i="9"/>
  <c r="C43" i="9" s="1"/>
  <c r="F4" i="9"/>
  <c r="F43" i="9" s="1"/>
  <c r="H4" i="9"/>
  <c r="H43" i="9" s="1"/>
  <c r="I42" i="9"/>
  <c r="Z42"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4" i="9" s="1"/>
  <c r="N44" i="9" s="1"/>
  <c r="A6" i="9"/>
  <c r="A45" i="9" s="1"/>
  <c r="A7" i="9"/>
  <c r="A46" i="9" s="1"/>
  <c r="A8" i="9"/>
  <c r="A47" i="9" s="1"/>
  <c r="A9" i="9"/>
  <c r="A48" i="9" s="1"/>
  <c r="A10" i="9"/>
  <c r="A49" i="9" s="1"/>
  <c r="AF49" i="9" s="1"/>
  <c r="A11" i="9"/>
  <c r="A50" i="9" s="1"/>
  <c r="R50" i="9" s="1"/>
  <c r="A12" i="9"/>
  <c r="A51" i="9" s="1"/>
  <c r="R51" i="9" s="1"/>
  <c r="A13" i="9"/>
  <c r="A52" i="9" s="1"/>
  <c r="N52" i="9" s="1"/>
  <c r="A14" i="9"/>
  <c r="A53" i="9" s="1"/>
  <c r="N53" i="9" s="1"/>
  <c r="A15" i="9"/>
  <c r="A54" i="9" s="1"/>
  <c r="AF54" i="9" s="1"/>
  <c r="A16" i="9"/>
  <c r="A55" i="9" s="1"/>
  <c r="A17" i="9"/>
  <c r="A56" i="9" s="1"/>
  <c r="A18" i="9"/>
  <c r="A57" i="9" s="1"/>
  <c r="R57" i="9" s="1"/>
  <c r="A19" i="9"/>
  <c r="A58" i="9" s="1"/>
  <c r="N58" i="9" s="1"/>
  <c r="A20" i="9"/>
  <c r="A59" i="9" s="1"/>
  <c r="N59" i="9" s="1"/>
  <c r="A21" i="9"/>
  <c r="A60" i="9" s="1"/>
  <c r="AF60" i="9" s="1"/>
  <c r="A22" i="9"/>
  <c r="A61" i="9" s="1"/>
  <c r="A23" i="9"/>
  <c r="A62" i="9" s="1"/>
  <c r="R62" i="9" s="1"/>
  <c r="A24" i="9"/>
  <c r="A63" i="9" s="1"/>
  <c r="A25" i="9"/>
  <c r="A64" i="9" s="1"/>
  <c r="AF64" i="9" s="1"/>
  <c r="A26" i="9"/>
  <c r="A65" i="9" s="1"/>
  <c r="R65" i="9" s="1"/>
  <c r="A27" i="9"/>
  <c r="A66" i="9" s="1"/>
  <c r="N66" i="9" s="1"/>
  <c r="A28" i="9"/>
  <c r="A67" i="9" s="1"/>
  <c r="A29" i="9"/>
  <c r="A68" i="9" s="1"/>
  <c r="R68" i="9" s="1"/>
  <c r="A4" i="9"/>
  <c r="A43" i="9" s="1"/>
  <c r="N43" i="9" s="1"/>
  <c r="C2" i="9"/>
  <c r="C40" i="9" s="1"/>
  <c r="AH40" i="9" s="1"/>
  <c r="D2" i="9"/>
  <c r="D40" i="9" s="1"/>
  <c r="E2" i="9"/>
  <c r="E40" i="9" s="1"/>
  <c r="V40" i="9" s="1"/>
  <c r="F2" i="9"/>
  <c r="F40" i="9" s="1"/>
  <c r="G2" i="9"/>
  <c r="G40" i="9" s="1"/>
  <c r="H2" i="9"/>
  <c r="H40" i="9" s="1"/>
  <c r="C3" i="9"/>
  <c r="C41" i="9" s="1"/>
  <c r="AH41" i="9" s="1"/>
  <c r="D3" i="9"/>
  <c r="D41" i="9" s="1"/>
  <c r="E3" i="9"/>
  <c r="E41" i="9" s="1"/>
  <c r="V41" i="9" s="1"/>
  <c r="F3" i="9"/>
  <c r="F41" i="9" s="1"/>
  <c r="G3" i="9"/>
  <c r="G41" i="9" s="1"/>
  <c r="H3" i="9"/>
  <c r="H41" i="9" s="1"/>
  <c r="Y41" i="9" s="1"/>
  <c r="B2" i="9"/>
  <c r="B40" i="9" s="1"/>
  <c r="B3" i="9"/>
  <c r="B41" i="9" s="1"/>
  <c r="S41" i="9" s="1"/>
  <c r="A3" i="9"/>
  <c r="Y42" i="9"/>
  <c r="W42" i="9"/>
  <c r="T42" i="9"/>
  <c r="S42" i="9"/>
  <c r="U42" i="9"/>
  <c r="V42" i="9"/>
  <c r="X42" i="9"/>
  <c r="R42" i="9"/>
  <c r="R41" i="9"/>
  <c r="Z41" i="9"/>
  <c r="R42" i="12"/>
  <c r="AS42" i="12" s="1"/>
  <c r="B4" i="12"/>
  <c r="B43" i="12" s="1"/>
  <c r="C4" i="12"/>
  <c r="C43" i="12" s="1"/>
  <c r="F4" i="12"/>
  <c r="F43" i="12" s="1"/>
  <c r="H4" i="12"/>
  <c r="H43" i="12" s="1"/>
  <c r="I42" i="12"/>
  <c r="Z42" i="12" s="1"/>
  <c r="AO42" i="12" s="1"/>
  <c r="BV42" i="12" s="1"/>
  <c r="BA42" i="12" s="1"/>
  <c r="B5" i="12"/>
  <c r="O5" i="12"/>
  <c r="C5" i="12"/>
  <c r="F5" i="12"/>
  <c r="H5" i="12"/>
  <c r="B6" i="12"/>
  <c r="C6" i="12"/>
  <c r="F6" i="12"/>
  <c r="H6" i="12"/>
  <c r="B7" i="12"/>
  <c r="O7" i="12"/>
  <c r="C7" i="12"/>
  <c r="F7" i="12"/>
  <c r="H7" i="12"/>
  <c r="B8" i="12"/>
  <c r="C8" i="12"/>
  <c r="F8" i="12"/>
  <c r="H8" i="12"/>
  <c r="B9" i="12"/>
  <c r="O9" i="12"/>
  <c r="C9" i="12"/>
  <c r="F9" i="12"/>
  <c r="H9" i="12"/>
  <c r="B10" i="12"/>
  <c r="C10" i="12"/>
  <c r="F10" i="12"/>
  <c r="H10" i="12"/>
  <c r="B11" i="12"/>
  <c r="O11" i="12"/>
  <c r="C11" i="12"/>
  <c r="F11" i="12"/>
  <c r="H11" i="12"/>
  <c r="B12" i="12"/>
  <c r="C12" i="12"/>
  <c r="F12" i="12"/>
  <c r="H12" i="12"/>
  <c r="B13" i="12"/>
  <c r="O13" i="12"/>
  <c r="C13" i="12"/>
  <c r="G13" i="12"/>
  <c r="H13" i="12"/>
  <c r="B14" i="12"/>
  <c r="C14" i="12"/>
  <c r="G14" i="12"/>
  <c r="H14" i="12"/>
  <c r="B15" i="12"/>
  <c r="O15" i="12"/>
  <c r="D15" i="12"/>
  <c r="E15" i="12"/>
  <c r="G15" i="12"/>
  <c r="H15" i="12"/>
  <c r="B16" i="12"/>
  <c r="D16" i="12"/>
  <c r="E16" i="12"/>
  <c r="G16" i="12"/>
  <c r="H16" i="12"/>
  <c r="B17" i="12"/>
  <c r="O17" i="12"/>
  <c r="D17" i="12"/>
  <c r="E17" i="12"/>
  <c r="G17" i="12"/>
  <c r="H17" i="12"/>
  <c r="B18" i="12"/>
  <c r="D18" i="12"/>
  <c r="E18" i="12"/>
  <c r="G18" i="12"/>
  <c r="H18" i="12"/>
  <c r="H19" i="12"/>
  <c r="O19" i="12"/>
  <c r="S42" i="12"/>
  <c r="B20" i="12"/>
  <c r="O20" i="12"/>
  <c r="BQ42" i="12"/>
  <c r="AV42" i="12" s="1"/>
  <c r="D20" i="12"/>
  <c r="BR42" i="12"/>
  <c r="AW42" i="12" s="1"/>
  <c r="E20" i="12"/>
  <c r="BT42" i="12"/>
  <c r="AY42" i="12" s="1"/>
  <c r="G20" i="12"/>
  <c r="Y42"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42" i="12"/>
  <c r="X42" i="12"/>
  <c r="W42" i="12"/>
  <c r="V42" i="12"/>
  <c r="U42" i="12"/>
  <c r="T42" i="12"/>
  <c r="BV41" i="12"/>
  <c r="BA41" i="12" s="1"/>
  <c r="BN41" i="12"/>
  <c r="Z41" i="12"/>
  <c r="R41" i="12"/>
  <c r="A28" i="12"/>
  <c r="A67" i="12" s="1"/>
  <c r="R67" i="12" s="1"/>
  <c r="A27" i="12"/>
  <c r="A66" i="12" s="1"/>
  <c r="AG66" i="12" s="1"/>
  <c r="BN66" i="12" s="1"/>
  <c r="A26" i="12"/>
  <c r="A65" i="12" s="1"/>
  <c r="R65" i="12" s="1"/>
  <c r="G25" i="12"/>
  <c r="G64" i="12" s="1"/>
  <c r="E25" i="12"/>
  <c r="E64" i="12" s="1"/>
  <c r="D25" i="12"/>
  <c r="D64" i="12" s="1"/>
  <c r="B25" i="12"/>
  <c r="B64" i="12" s="1"/>
  <c r="A25" i="12"/>
  <c r="A64" i="12" s="1"/>
  <c r="A24" i="12"/>
  <c r="A63" i="12" s="1"/>
  <c r="A23" i="12"/>
  <c r="A62" i="12" s="1"/>
  <c r="A22" i="12"/>
  <c r="A61" i="12" s="1"/>
  <c r="N61" i="12" s="1"/>
  <c r="A21" i="12"/>
  <c r="A60" i="12" s="1"/>
  <c r="AS60" i="12" s="1"/>
  <c r="A20" i="12"/>
  <c r="A59" i="12" s="1"/>
  <c r="AS59" i="12" s="1"/>
  <c r="G19" i="12"/>
  <c r="G58" i="12" s="1"/>
  <c r="E19" i="12"/>
  <c r="E58" i="12" s="1"/>
  <c r="D19" i="12"/>
  <c r="D58" i="12" s="1"/>
  <c r="B19" i="12"/>
  <c r="B58" i="12" s="1"/>
  <c r="A19" i="12"/>
  <c r="A58" i="12" s="1"/>
  <c r="A18" i="12"/>
  <c r="A57" i="12" s="1"/>
  <c r="R57" i="12" s="1"/>
  <c r="A17" i="12"/>
  <c r="A56" i="12" s="1"/>
  <c r="A16" i="12"/>
  <c r="A55" i="12" s="1"/>
  <c r="AS55" i="12" s="1"/>
  <c r="A15" i="12"/>
  <c r="A54" i="12" s="1"/>
  <c r="AS54" i="12" s="1"/>
  <c r="A14" i="12"/>
  <c r="A53" i="12" s="1"/>
  <c r="AS53" i="12" s="1"/>
  <c r="A13" i="12"/>
  <c r="A52" i="12" s="1"/>
  <c r="N52" i="12" s="1"/>
  <c r="A12" i="12"/>
  <c r="A51" i="12" s="1"/>
  <c r="N51" i="12" s="1"/>
  <c r="N13" i="12"/>
  <c r="A11" i="12"/>
  <c r="A50" i="12" s="1"/>
  <c r="N50" i="12" s="1"/>
  <c r="A10" i="12"/>
  <c r="A49" i="12" s="1"/>
  <c r="A9" i="12"/>
  <c r="A48" i="12" s="1"/>
  <c r="A8" i="12"/>
  <c r="A47" i="12" s="1"/>
  <c r="A7" i="12"/>
  <c r="A46" i="12" s="1"/>
  <c r="A6" i="12"/>
  <c r="A45" i="12" s="1"/>
  <c r="A5" i="12"/>
  <c r="A44" i="12" s="1"/>
  <c r="A4" i="12"/>
  <c r="A43" i="12" s="1"/>
  <c r="R43" i="12" s="1"/>
  <c r="H3" i="12"/>
  <c r="H41" i="12" s="1"/>
  <c r="Y41" i="12" s="1"/>
  <c r="G3" i="12"/>
  <c r="G41" i="12" s="1"/>
  <c r="X41" i="12" s="1"/>
  <c r="F3" i="12"/>
  <c r="F41" i="12" s="1"/>
  <c r="E3" i="12"/>
  <c r="E41" i="12" s="1"/>
  <c r="V41" i="12" s="1"/>
  <c r="D3" i="12"/>
  <c r="D41" i="12" s="1"/>
  <c r="AJ41" i="12" s="1"/>
  <c r="BQ41" i="12" s="1"/>
  <c r="AV41" i="12" s="1"/>
  <c r="C3" i="12"/>
  <c r="C41" i="12" s="1"/>
  <c r="B3" i="12"/>
  <c r="B41" i="12" s="1"/>
  <c r="AH41" i="12" s="1"/>
  <c r="BO41" i="12" s="1"/>
  <c r="AT41" i="12" s="1"/>
  <c r="A3" i="12"/>
  <c r="H2" i="12"/>
  <c r="H40" i="12" s="1"/>
  <c r="AN40" i="12" s="1"/>
  <c r="BU40" i="12" s="1"/>
  <c r="AZ40" i="12" s="1"/>
  <c r="G2" i="12"/>
  <c r="G40" i="12" s="1"/>
  <c r="AM40" i="12" s="1"/>
  <c r="BT40" i="12" s="1"/>
  <c r="AY40" i="12" s="1"/>
  <c r="F2" i="12"/>
  <c r="F40" i="12" s="1"/>
  <c r="E2" i="12"/>
  <c r="E40" i="12" s="1"/>
  <c r="AK40" i="12" s="1"/>
  <c r="BR40" i="12" s="1"/>
  <c r="AW40" i="12" s="1"/>
  <c r="D2" i="12"/>
  <c r="D40" i="12" s="1"/>
  <c r="AJ40" i="12" s="1"/>
  <c r="BQ40" i="12" s="1"/>
  <c r="AV40" i="12" s="1"/>
  <c r="C2" i="12"/>
  <c r="C40" i="12" s="1"/>
  <c r="AI40" i="12" s="1"/>
  <c r="BP40" i="12" s="1"/>
  <c r="AU40" i="12" s="1"/>
  <c r="B2" i="12"/>
  <c r="B40" i="12" s="1"/>
  <c r="S40" i="12" s="1"/>
  <c r="O5" i="10"/>
  <c r="O7" i="10"/>
  <c r="S42" i="10"/>
  <c r="I42" i="10"/>
  <c r="Z42" i="10" s="1"/>
  <c r="O9" i="10"/>
  <c r="O11" i="10"/>
  <c r="T42" i="10"/>
  <c r="W42" i="10"/>
  <c r="Y42" i="10"/>
  <c r="O13" i="10"/>
  <c r="O15" i="10"/>
  <c r="O17" i="10"/>
  <c r="AY42" i="10"/>
  <c r="BI42" i="10" s="1"/>
  <c r="O19" i="10"/>
  <c r="AV42" i="10"/>
  <c r="BF42" i="10" s="1"/>
  <c r="AW42" i="10"/>
  <c r="BG42" i="10" s="1"/>
  <c r="O21" i="10"/>
  <c r="O23" i="10"/>
  <c r="O25" i="10"/>
  <c r="O27" i="10"/>
  <c r="H3" i="10"/>
  <c r="H41" i="10" s="1"/>
  <c r="AN41" i="10" s="1"/>
  <c r="AZ41" i="10" s="1"/>
  <c r="BJ41" i="10" s="1"/>
  <c r="G3" i="10"/>
  <c r="G41" i="10" s="1"/>
  <c r="AM41" i="10" s="1"/>
  <c r="AY41" i="10" s="1"/>
  <c r="BI41" i="10" s="1"/>
  <c r="F3" i="10"/>
  <c r="F41" i="10" s="1"/>
  <c r="E3" i="10"/>
  <c r="E41" i="10" s="1"/>
  <c r="D3" i="10"/>
  <c r="D41" i="10" s="1"/>
  <c r="AJ41" i="10" s="1"/>
  <c r="AV41" i="10" s="1"/>
  <c r="BF41" i="10" s="1"/>
  <c r="C3" i="10"/>
  <c r="C41" i="10" s="1"/>
  <c r="AI41" i="10" s="1"/>
  <c r="AU41" i="10" s="1"/>
  <c r="BE41" i="10" s="1"/>
  <c r="B3" i="10"/>
  <c r="B41" i="10" s="1"/>
  <c r="AH41" i="10" s="1"/>
  <c r="AT41" i="10" s="1"/>
  <c r="BD41" i="10" s="1"/>
  <c r="H2" i="10"/>
  <c r="H40" i="10" s="1"/>
  <c r="G2" i="10"/>
  <c r="G40" i="10" s="1"/>
  <c r="F2" i="10"/>
  <c r="F40" i="10" s="1"/>
  <c r="AL40" i="10" s="1"/>
  <c r="AX40" i="10" s="1"/>
  <c r="BH40" i="10" s="1"/>
  <c r="E2" i="10"/>
  <c r="E40" i="10" s="1"/>
  <c r="D2" i="10"/>
  <c r="D40" i="10" s="1"/>
  <c r="C2" i="10"/>
  <c r="C40" i="10" s="1"/>
  <c r="T40" i="10" s="1"/>
  <c r="B2" i="10"/>
  <c r="B40" i="10" s="1"/>
  <c r="A3" i="10"/>
  <c r="N11" i="10"/>
  <c r="AS42" i="10"/>
  <c r="BC42" i="10" s="1"/>
  <c r="BA41" i="10"/>
  <c r="BK41" i="10" s="1"/>
  <c r="AS41" i="10"/>
  <c r="X42" i="10"/>
  <c r="V42" i="10"/>
  <c r="U42" i="10"/>
  <c r="R42" i="10"/>
  <c r="Z41" i="10"/>
  <c r="R41" i="10"/>
  <c r="B43" i="1"/>
  <c r="B44" i="1" s="1"/>
  <c r="B45" i="1" s="1"/>
  <c r="B46" i="1" s="1"/>
  <c r="B47" i="1" s="1"/>
  <c r="B48" i="1" s="1"/>
  <c r="C43" i="1"/>
  <c r="F43" i="1"/>
  <c r="F44" i="1" s="1"/>
  <c r="F45" i="1" s="1"/>
  <c r="F46" i="1" s="1"/>
  <c r="H43" i="1"/>
  <c r="I42" i="1"/>
  <c r="W42" i="1" s="1"/>
  <c r="A67" i="1"/>
  <c r="O67" i="1" s="1"/>
  <c r="A62" i="1"/>
  <c r="O62" i="1" s="1"/>
  <c r="A63" i="1"/>
  <c r="O63" i="1" s="1"/>
  <c r="A64" i="1"/>
  <c r="O64" i="1" s="1"/>
  <c r="A65" i="1"/>
  <c r="O65" i="1" s="1"/>
  <c r="A66" i="1"/>
  <c r="O66"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59" i="1"/>
  <c r="O59" i="1" s="1"/>
  <c r="A60" i="1"/>
  <c r="O60" i="1" s="1"/>
  <c r="A61" i="1"/>
  <c r="O61" i="1" s="1"/>
  <c r="A43" i="1"/>
  <c r="O43" i="1" s="1"/>
  <c r="H41" i="1"/>
  <c r="V41" i="1" s="1"/>
  <c r="G41" i="1"/>
  <c r="U41" i="1" s="1"/>
  <c r="F41" i="1"/>
  <c r="T41" i="1" s="1"/>
  <c r="E41" i="1"/>
  <c r="S41" i="1" s="1"/>
  <c r="D41" i="1"/>
  <c r="R41" i="1" s="1"/>
  <c r="C41" i="1"/>
  <c r="Q41" i="1" s="1"/>
  <c r="H40" i="1"/>
  <c r="V40" i="1" s="1"/>
  <c r="G40" i="1"/>
  <c r="U40" i="1" s="1"/>
  <c r="F40" i="1"/>
  <c r="T40" i="1" s="1"/>
  <c r="E40" i="1"/>
  <c r="S40" i="1" s="1"/>
  <c r="D40" i="1"/>
  <c r="R40" i="1" s="1"/>
  <c r="C40" i="1"/>
  <c r="Q40" i="1" s="1"/>
  <c r="B41" i="1"/>
  <c r="P41" i="1" s="1"/>
  <c r="B40" i="1"/>
  <c r="P40" i="1" s="1"/>
  <c r="A25" i="3"/>
  <c r="B25" i="7"/>
  <c r="B64" i="7" s="1"/>
  <c r="D25" i="7"/>
  <c r="D64" i="7" s="1"/>
  <c r="E25" i="7"/>
  <c r="E64" i="7" s="1"/>
  <c r="G25" i="7"/>
  <c r="G64" i="7" s="1"/>
  <c r="B19" i="7"/>
  <c r="B58" i="7" s="1"/>
  <c r="D19" i="7"/>
  <c r="D58" i="7" s="1"/>
  <c r="E19" i="7"/>
  <c r="E58" i="7" s="1"/>
  <c r="G19" i="7"/>
  <c r="G58" i="7" s="1"/>
  <c r="B42" i="7"/>
  <c r="AB42" i="7" s="1"/>
  <c r="B4" i="7"/>
  <c r="B5" i="7"/>
  <c r="B6" i="7"/>
  <c r="B7" i="7"/>
  <c r="B8" i="7"/>
  <c r="B9" i="7"/>
  <c r="B10" i="7"/>
  <c r="B11" i="7"/>
  <c r="B12" i="7"/>
  <c r="B13" i="7"/>
  <c r="B14" i="7"/>
  <c r="B15" i="7"/>
  <c r="B16" i="7"/>
  <c r="B17" i="7"/>
  <c r="B18" i="7"/>
  <c r="C42" i="7"/>
  <c r="C4" i="7"/>
  <c r="C5" i="7"/>
  <c r="C6" i="7"/>
  <c r="C7" i="7"/>
  <c r="C8" i="7"/>
  <c r="C9" i="7"/>
  <c r="C10" i="7"/>
  <c r="C11" i="7"/>
  <c r="C12" i="7"/>
  <c r="C13" i="7"/>
  <c r="D15" i="7"/>
  <c r="D16" i="7"/>
  <c r="D17" i="7"/>
  <c r="D18" i="7"/>
  <c r="E15" i="7"/>
  <c r="E16" i="7"/>
  <c r="E17" i="7"/>
  <c r="E18" i="7"/>
  <c r="F42" i="7"/>
  <c r="F4" i="7"/>
  <c r="F5" i="7"/>
  <c r="F6" i="7"/>
  <c r="F7" i="7"/>
  <c r="F8" i="7"/>
  <c r="F9" i="7"/>
  <c r="F10" i="7"/>
  <c r="F11" i="7"/>
  <c r="G13" i="7"/>
  <c r="G14" i="7"/>
  <c r="G15" i="7"/>
  <c r="G16" i="7"/>
  <c r="G17" i="7"/>
  <c r="G18" i="7"/>
  <c r="H42" i="7"/>
  <c r="H4" i="7"/>
  <c r="H5" i="7"/>
  <c r="H6" i="7"/>
  <c r="H7" i="7"/>
  <c r="H8" i="7"/>
  <c r="H9" i="7"/>
  <c r="H10" i="7"/>
  <c r="H11" i="7"/>
  <c r="H12" i="7"/>
  <c r="H13" i="7"/>
  <c r="H14" i="7"/>
  <c r="H15" i="7"/>
  <c r="H16" i="7"/>
  <c r="H17" i="7"/>
  <c r="H18" i="7"/>
  <c r="H19" i="7"/>
  <c r="B20" i="7"/>
  <c r="B21" i="7"/>
  <c r="B22" i="7"/>
  <c r="B23" i="7"/>
  <c r="B24" i="7"/>
  <c r="R42" i="7"/>
  <c r="D20" i="7"/>
  <c r="D21" i="7"/>
  <c r="D22" i="7"/>
  <c r="D23" i="7"/>
  <c r="D24" i="7"/>
  <c r="S42" i="7"/>
  <c r="E20" i="7"/>
  <c r="E21" i="7"/>
  <c r="E22" i="7"/>
  <c r="E23" i="7"/>
  <c r="E24" i="7"/>
  <c r="U42"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 i="7"/>
  <c r="A43" i="7" s="1"/>
  <c r="O43" i="7" s="1"/>
  <c r="AA43" i="7" s="1"/>
  <c r="AA42" i="7"/>
  <c r="AA41" i="7"/>
  <c r="C2" i="7"/>
  <c r="C40" i="7" s="1"/>
  <c r="Q40" i="7" s="1"/>
  <c r="AC40" i="7" s="1"/>
  <c r="D2" i="7"/>
  <c r="D40" i="7" s="1"/>
  <c r="R40" i="7" s="1"/>
  <c r="AD40" i="7" s="1"/>
  <c r="E2" i="7"/>
  <c r="E40" i="7" s="1"/>
  <c r="S40" i="7" s="1"/>
  <c r="AE40" i="7" s="1"/>
  <c r="F2" i="7"/>
  <c r="F40" i="7" s="1"/>
  <c r="T40" i="7" s="1"/>
  <c r="AF40" i="7" s="1"/>
  <c r="G2" i="7"/>
  <c r="G40" i="7" s="1"/>
  <c r="U40" i="7" s="1"/>
  <c r="AG40" i="7" s="1"/>
  <c r="H2" i="7"/>
  <c r="H40" i="7" s="1"/>
  <c r="V40" i="7" s="1"/>
  <c r="AH40" i="7" s="1"/>
  <c r="C3" i="7"/>
  <c r="C41" i="7" s="1"/>
  <c r="Q41" i="7" s="1"/>
  <c r="AC41" i="7" s="1"/>
  <c r="D3" i="7"/>
  <c r="D41" i="7" s="1"/>
  <c r="R41" i="7" s="1"/>
  <c r="AD41" i="7" s="1"/>
  <c r="E3" i="7"/>
  <c r="E41" i="7" s="1"/>
  <c r="S41" i="7" s="1"/>
  <c r="AE41" i="7" s="1"/>
  <c r="F3" i="7"/>
  <c r="F41" i="7" s="1"/>
  <c r="T41" i="7" s="1"/>
  <c r="AF41" i="7" s="1"/>
  <c r="G3" i="7"/>
  <c r="G41" i="7" s="1"/>
  <c r="U41" i="7" s="1"/>
  <c r="AG41" i="7" s="1"/>
  <c r="H3" i="7"/>
  <c r="H41" i="7" s="1"/>
  <c r="V41" i="7" s="1"/>
  <c r="AH41" i="7" s="1"/>
  <c r="AI41" i="7"/>
  <c r="B3" i="7"/>
  <c r="B41" i="7" s="1"/>
  <c r="P41" i="7" s="1"/>
  <c r="AB41" i="7" s="1"/>
  <c r="B2" i="7"/>
  <c r="B40" i="7" s="1"/>
  <c r="P40" i="7" s="1"/>
  <c r="AB40" i="7" s="1"/>
  <c r="F12" i="7"/>
  <c r="C14" i="7"/>
  <c r="A3" i="7"/>
  <c r="B42" i="4"/>
  <c r="B4" i="4"/>
  <c r="B5" i="4"/>
  <c r="C42" i="4"/>
  <c r="C4" i="4"/>
  <c r="C5" i="4"/>
  <c r="F42" i="4"/>
  <c r="F4" i="4"/>
  <c r="F5" i="4"/>
  <c r="H42"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42" i="4"/>
  <c r="AH42" i="4" s="1"/>
  <c r="AR42" i="4" s="1"/>
  <c r="G15" i="4"/>
  <c r="H15" i="4"/>
  <c r="B16" i="4"/>
  <c r="D16" i="4"/>
  <c r="E16" i="4"/>
  <c r="G16" i="4"/>
  <c r="H16" i="4"/>
  <c r="B17" i="4"/>
  <c r="D17" i="4"/>
  <c r="E17" i="4"/>
  <c r="G17" i="4"/>
  <c r="H17" i="4"/>
  <c r="B18" i="4"/>
  <c r="D18" i="4"/>
  <c r="E18" i="4"/>
  <c r="G18" i="4"/>
  <c r="H18" i="4"/>
  <c r="B19" i="4"/>
  <c r="R42" i="4"/>
  <c r="AE42" i="4" s="1"/>
  <c r="AO42" i="4" s="1"/>
  <c r="D19" i="4"/>
  <c r="S42" i="4"/>
  <c r="AF42" i="4" s="1"/>
  <c r="AP42"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42" i="4"/>
  <c r="AL42" i="4" s="1"/>
  <c r="AB41" i="4"/>
  <c r="AJ41" i="4"/>
  <c r="AT41" i="4" s="1"/>
  <c r="A5" i="4"/>
  <c r="A44" i="4" s="1"/>
  <c r="A6" i="4"/>
  <c r="A45" i="4" s="1"/>
  <c r="O45" i="4" s="1"/>
  <c r="AB45" i="4" s="1"/>
  <c r="A7" i="4"/>
  <c r="A46" i="4" s="1"/>
  <c r="A6" i="14" s="1"/>
  <c r="A8" i="4"/>
  <c r="A47" i="4" s="1"/>
  <c r="A7" i="14" s="1"/>
  <c r="A9" i="4"/>
  <c r="A48" i="4" s="1"/>
  <c r="A10" i="4"/>
  <c r="A49" i="4" s="1"/>
  <c r="A11" i="4"/>
  <c r="A50" i="4" s="1"/>
  <c r="AL50" i="4" s="1"/>
  <c r="A12" i="4"/>
  <c r="A51" i="4" s="1"/>
  <c r="A13" i="4"/>
  <c r="A52" i="4" s="1"/>
  <c r="A14" i="4"/>
  <c r="A53" i="4" s="1"/>
  <c r="A13" i="14" s="1"/>
  <c r="A15" i="4"/>
  <c r="A54" i="4" s="1"/>
  <c r="A16" i="4"/>
  <c r="A55" i="4" s="1"/>
  <c r="A17" i="4"/>
  <c r="A56" i="4" s="1"/>
  <c r="A18" i="4"/>
  <c r="A57" i="4" s="1"/>
  <c r="A17" i="14" s="1"/>
  <c r="A19" i="4"/>
  <c r="A58" i="4" s="1"/>
  <c r="AL58" i="4" s="1"/>
  <c r="A20" i="4"/>
  <c r="A59" i="4" s="1"/>
  <c r="A21" i="4"/>
  <c r="A60" i="4" s="1"/>
  <c r="A20" i="14" s="1"/>
  <c r="A22" i="4"/>
  <c r="A61" i="4" s="1"/>
  <c r="AL61" i="4" s="1"/>
  <c r="A23" i="4"/>
  <c r="A62" i="4" s="1"/>
  <c r="A24" i="4"/>
  <c r="A63" i="4" s="1"/>
  <c r="A25" i="4"/>
  <c r="A64" i="4" s="1"/>
  <c r="A26" i="4"/>
  <c r="A65" i="4" s="1"/>
  <c r="A27" i="4"/>
  <c r="A66" i="4" s="1"/>
  <c r="A28" i="4"/>
  <c r="A67" i="4" s="1"/>
  <c r="A27" i="14" s="1"/>
  <c r="A29" i="4"/>
  <c r="A68" i="4" s="1"/>
  <c r="O68" i="4" s="1"/>
  <c r="AB68" i="4" s="1"/>
  <c r="A4" i="4"/>
  <c r="A43" i="4" s="1"/>
  <c r="H3" i="4"/>
  <c r="H41" i="4" s="1"/>
  <c r="V41" i="4" s="1"/>
  <c r="AI41" i="4" s="1"/>
  <c r="AS41" i="4" s="1"/>
  <c r="G3" i="4"/>
  <c r="G41" i="4" s="1"/>
  <c r="U41" i="4" s="1"/>
  <c r="AH41" i="4" s="1"/>
  <c r="AR41" i="4" s="1"/>
  <c r="F3" i="4"/>
  <c r="F41" i="4" s="1"/>
  <c r="T41" i="4" s="1"/>
  <c r="AG41" i="4" s="1"/>
  <c r="AQ41" i="4" s="1"/>
  <c r="E3" i="4"/>
  <c r="E41" i="4" s="1"/>
  <c r="S41" i="4" s="1"/>
  <c r="AF41" i="4" s="1"/>
  <c r="AP41" i="4" s="1"/>
  <c r="D3" i="4"/>
  <c r="D41" i="4" s="1"/>
  <c r="R41" i="4" s="1"/>
  <c r="AE41" i="4" s="1"/>
  <c r="AO41" i="4" s="1"/>
  <c r="C3" i="4"/>
  <c r="C41" i="4" s="1"/>
  <c r="Q41" i="4" s="1"/>
  <c r="AD41" i="4" s="1"/>
  <c r="AN41" i="4" s="1"/>
  <c r="H2" i="4"/>
  <c r="H40" i="4" s="1"/>
  <c r="V40" i="4" s="1"/>
  <c r="AI40" i="4" s="1"/>
  <c r="AS40" i="4" s="1"/>
  <c r="G2" i="4"/>
  <c r="G40" i="4" s="1"/>
  <c r="U40" i="4" s="1"/>
  <c r="AH40" i="4" s="1"/>
  <c r="AR40" i="4" s="1"/>
  <c r="F2" i="4"/>
  <c r="F40" i="4" s="1"/>
  <c r="T40" i="4" s="1"/>
  <c r="AG40" i="4" s="1"/>
  <c r="AQ40" i="4" s="1"/>
  <c r="E2" i="4"/>
  <c r="E40" i="4" s="1"/>
  <c r="S40" i="4" s="1"/>
  <c r="AF40" i="4" s="1"/>
  <c r="AP40" i="4" s="1"/>
  <c r="D2" i="4"/>
  <c r="D40" i="4" s="1"/>
  <c r="R40" i="4" s="1"/>
  <c r="AE40" i="4" s="1"/>
  <c r="AO40" i="4" s="1"/>
  <c r="C2" i="4"/>
  <c r="C40" i="4" s="1"/>
  <c r="Q40" i="4" s="1"/>
  <c r="AD40" i="4" s="1"/>
  <c r="AN40" i="4" s="1"/>
  <c r="B3" i="4"/>
  <c r="B41" i="4" s="1"/>
  <c r="P41" i="4" s="1"/>
  <c r="AC41" i="4" s="1"/>
  <c r="AM41" i="4" s="1"/>
  <c r="B2" i="4"/>
  <c r="B40" i="4" s="1"/>
  <c r="P40" i="4" s="1"/>
  <c r="AC40" i="4" s="1"/>
  <c r="AM40" i="4" s="1"/>
  <c r="A3" i="4"/>
  <c r="B2" i="14"/>
  <c r="C2" i="14"/>
  <c r="T42" i="1"/>
  <c r="Q42" i="1"/>
  <c r="V42" i="1"/>
  <c r="N57" i="12"/>
  <c r="R61" i="12"/>
  <c r="AM41" i="9"/>
  <c r="AG44" i="12"/>
  <c r="BN44" i="12" s="1"/>
  <c r="R48" i="12"/>
  <c r="AH40" i="12"/>
  <c r="BO40" i="12" s="1"/>
  <c r="AT40" i="12" s="1"/>
  <c r="N59" i="12"/>
  <c r="U41" i="12"/>
  <c r="E76" i="29"/>
  <c r="D76" i="29"/>
  <c r="G76" i="29"/>
  <c r="H76" i="29"/>
  <c r="AL42" i="20" l="1"/>
  <c r="AX42" i="20" s="1"/>
  <c r="BH42" i="20" s="1"/>
  <c r="AO42" i="10"/>
  <c r="BA42" i="10" s="1"/>
  <c r="BK42" i="10" s="1"/>
  <c r="AN42" i="10"/>
  <c r="AZ42" i="10" s="1"/>
  <c r="BJ42" i="10" s="1"/>
  <c r="AL42" i="10"/>
  <c r="AX42" i="10" s="1"/>
  <c r="BH42" i="10" s="1"/>
  <c r="AI42" i="10"/>
  <c r="AU42" i="10" s="1"/>
  <c r="BE42" i="10" s="1"/>
  <c r="R56" i="29"/>
  <c r="N72" i="29"/>
  <c r="AG68" i="26"/>
  <c r="AS68" i="26" s="1"/>
  <c r="BC68" i="26" s="1"/>
  <c r="AL39" i="24"/>
  <c r="BS39" i="24" s="1"/>
  <c r="AX39" i="24" s="1"/>
  <c r="R64" i="23"/>
  <c r="AG72" i="22"/>
  <c r="AS72" i="22" s="1"/>
  <c r="BC72" i="22" s="1"/>
  <c r="O34" i="10"/>
  <c r="AF68" i="9"/>
  <c r="R54" i="12"/>
  <c r="N55" i="24"/>
  <c r="T42" i="28"/>
  <c r="W42" i="28"/>
  <c r="W42" i="25"/>
  <c r="AJ42" i="25" s="1"/>
  <c r="AT42" i="25" s="1"/>
  <c r="V42" i="25"/>
  <c r="AI42" i="25" s="1"/>
  <c r="AS42" i="25" s="1"/>
  <c r="O53" i="4"/>
  <c r="AB53" i="4" s="1"/>
  <c r="B43" i="4"/>
  <c r="AM43" i="4" s="1"/>
  <c r="B44" i="4" s="1"/>
  <c r="AG68" i="20"/>
  <c r="AS68" i="20" s="1"/>
  <c r="BC68" i="20" s="1"/>
  <c r="R72" i="9"/>
  <c r="N54" i="22"/>
  <c r="O49" i="25"/>
  <c r="AB49" i="25" s="1"/>
  <c r="N72" i="9"/>
  <c r="O47" i="4"/>
  <c r="AB47" i="4" s="1"/>
  <c r="H43" i="4"/>
  <c r="AS43" i="4" s="1"/>
  <c r="H44" i="4" s="1"/>
  <c r="AS44" i="4" s="1"/>
  <c r="H45" i="4" s="1"/>
  <c r="R44" i="29"/>
  <c r="R52" i="12"/>
  <c r="N62" i="20"/>
  <c r="R68" i="20"/>
  <c r="N63" i="20"/>
  <c r="AG52" i="10"/>
  <c r="AS52" i="10" s="1"/>
  <c r="BC52" i="10" s="1"/>
  <c r="AF65" i="9"/>
  <c r="R53" i="9"/>
  <c r="O10" i="10"/>
  <c r="O6" i="12"/>
  <c r="AF57" i="9"/>
  <c r="O4" i="10"/>
  <c r="O3" i="20"/>
  <c r="N23" i="20"/>
  <c r="R66" i="9"/>
  <c r="T40" i="9"/>
  <c r="N27" i="10"/>
  <c r="N17" i="20"/>
  <c r="N21" i="20"/>
  <c r="AF66" i="9"/>
  <c r="N13" i="10"/>
  <c r="N15" i="12"/>
  <c r="N31" i="10"/>
  <c r="N31" i="12"/>
  <c r="W40" i="29"/>
  <c r="AJ41" i="29"/>
  <c r="AS61" i="24"/>
  <c r="AS69" i="24"/>
  <c r="N53" i="24"/>
  <c r="R66" i="23"/>
  <c r="N66" i="23"/>
  <c r="AG64" i="23"/>
  <c r="AS64" i="23" s="1"/>
  <c r="BC64" i="23" s="1"/>
  <c r="AN41" i="23"/>
  <c r="AZ41" i="23" s="1"/>
  <c r="BJ41" i="23" s="1"/>
  <c r="R69" i="23"/>
  <c r="N46" i="22"/>
  <c r="N71" i="22"/>
  <c r="O10" i="12"/>
  <c r="N21" i="10"/>
  <c r="N5" i="10"/>
  <c r="O4" i="12"/>
  <c r="N7" i="12"/>
  <c r="N23" i="12"/>
  <c r="O14" i="12"/>
  <c r="O8" i="20"/>
  <c r="N19" i="20"/>
  <c r="N19" i="10"/>
  <c r="N5" i="12"/>
  <c r="O30" i="10"/>
  <c r="N7" i="20"/>
  <c r="N25" i="20"/>
  <c r="O26" i="20"/>
  <c r="O32" i="10"/>
  <c r="O18" i="10"/>
  <c r="O18" i="12"/>
  <c r="O3" i="12"/>
  <c r="O20" i="20"/>
  <c r="O22" i="20"/>
  <c r="O24" i="20"/>
  <c r="N25" i="10"/>
  <c r="N17" i="10"/>
  <c r="N9" i="10"/>
  <c r="O12" i="10"/>
  <c r="N11" i="12"/>
  <c r="N27" i="12"/>
  <c r="O12" i="12"/>
  <c r="O8" i="12"/>
  <c r="N29" i="10"/>
  <c r="N9" i="20"/>
  <c r="N15" i="20"/>
  <c r="O16" i="20"/>
  <c r="N29" i="20"/>
  <c r="O30" i="20"/>
  <c r="N33" i="20"/>
  <c r="O14" i="10"/>
  <c r="O16" i="12"/>
  <c r="O28" i="10"/>
  <c r="O6" i="10"/>
  <c r="O32" i="20"/>
  <c r="O54" i="19"/>
  <c r="AB54" i="19" s="1"/>
  <c r="Y40" i="12"/>
  <c r="O46" i="4"/>
  <c r="AB46" i="4" s="1"/>
  <c r="AF53" i="9"/>
  <c r="N49" i="9"/>
  <c r="N62" i="9"/>
  <c r="AG56" i="20"/>
  <c r="AS56" i="20" s="1"/>
  <c r="BC56" i="20" s="1"/>
  <c r="AG57" i="20"/>
  <c r="AS57" i="20" s="1"/>
  <c r="BC57" i="20" s="1"/>
  <c r="AM41" i="20"/>
  <c r="AY41" i="20" s="1"/>
  <c r="BI41" i="20" s="1"/>
  <c r="AS56" i="24"/>
  <c r="O60" i="25"/>
  <c r="AB60" i="25" s="1"/>
  <c r="N60" i="12"/>
  <c r="AL46" i="4"/>
  <c r="N57" i="9"/>
  <c r="AJ41" i="9"/>
  <c r="AG57" i="12"/>
  <c r="BN57" i="12" s="1"/>
  <c r="AS57" i="12"/>
  <c r="N56" i="20"/>
  <c r="AG62" i="20"/>
  <c r="AS62" i="20" s="1"/>
  <c r="BC62" i="20" s="1"/>
  <c r="R57" i="20"/>
  <c r="R56" i="24"/>
  <c r="U40" i="24"/>
  <c r="R50" i="23"/>
  <c r="N56" i="24"/>
  <c r="AG55" i="24"/>
  <c r="BN55" i="24" s="1"/>
  <c r="AS55" i="24"/>
  <c r="AG50" i="23"/>
  <c r="AS50" i="23" s="1"/>
  <c r="BC50" i="23" s="1"/>
  <c r="AG70" i="23"/>
  <c r="AS70" i="23" s="1"/>
  <c r="BC70" i="23" s="1"/>
  <c r="N70" i="23"/>
  <c r="S41" i="10"/>
  <c r="N69" i="24"/>
  <c r="AS54" i="24"/>
  <c r="R43" i="24"/>
  <c r="AH39" i="24"/>
  <c r="BO39" i="24" s="1"/>
  <c r="AT39" i="24" s="1"/>
  <c r="X40" i="12"/>
  <c r="AL47" i="4"/>
  <c r="AG69" i="24"/>
  <c r="R61" i="24"/>
  <c r="R54" i="24"/>
  <c r="AG43" i="24"/>
  <c r="BN43" i="24" s="1"/>
  <c r="AK40" i="24"/>
  <c r="BR40" i="24" s="1"/>
  <c r="AW40" i="24" s="1"/>
  <c r="AF58" i="29"/>
  <c r="R50" i="29"/>
  <c r="AG59" i="12"/>
  <c r="BN59" i="12" s="1"/>
  <c r="AG54" i="12"/>
  <c r="BN54" i="12" s="1"/>
  <c r="AS51" i="12"/>
  <c r="R59" i="12"/>
  <c r="N54" i="12"/>
  <c r="AM41" i="12"/>
  <c r="BT41" i="12" s="1"/>
  <c r="AY41" i="12" s="1"/>
  <c r="N44" i="10"/>
  <c r="N65" i="9"/>
  <c r="AF59" i="9"/>
  <c r="R49" i="9"/>
  <c r="AF62" i="9"/>
  <c r="W40" i="10"/>
  <c r="T40" i="12"/>
  <c r="AL68" i="4"/>
  <c r="R54" i="10"/>
  <c r="U41" i="20"/>
  <c r="AG61" i="24"/>
  <c r="BN61" i="24" s="1"/>
  <c r="N54" i="24"/>
  <c r="AG46" i="22"/>
  <c r="AS46" i="22" s="1"/>
  <c r="BC46" i="22" s="1"/>
  <c r="R58" i="29"/>
  <c r="AM41" i="29"/>
  <c r="AG55" i="10"/>
  <c r="AS55" i="10" s="1"/>
  <c r="BC55" i="10" s="1"/>
  <c r="N55" i="10"/>
  <c r="R55" i="10"/>
  <c r="A12" i="14"/>
  <c r="O52" i="4"/>
  <c r="AB52" i="4" s="1"/>
  <c r="AS56" i="12"/>
  <c r="AG56" i="12"/>
  <c r="BN56" i="12" s="1"/>
  <c r="R59" i="10"/>
  <c r="AG59" i="10"/>
  <c r="AS59" i="10" s="1"/>
  <c r="BC59" i="10" s="1"/>
  <c r="AL59" i="19"/>
  <c r="O59" i="19"/>
  <c r="AB59" i="19" s="1"/>
  <c r="N57" i="22"/>
  <c r="R57" i="22"/>
  <c r="R63" i="21"/>
  <c r="N63" i="21"/>
  <c r="AF63" i="21"/>
  <c r="AI40" i="10"/>
  <c r="AU40" i="10" s="1"/>
  <c r="BE40" i="10" s="1"/>
  <c r="O57" i="19"/>
  <c r="AB57" i="19" s="1"/>
  <c r="O56" i="25"/>
  <c r="AB56" i="25" s="1"/>
  <c r="R46" i="21"/>
  <c r="AF46" i="21"/>
  <c r="AG55" i="22"/>
  <c r="AS55" i="22" s="1"/>
  <c r="BC55" i="22" s="1"/>
  <c r="R55" i="22"/>
  <c r="AG61" i="22"/>
  <c r="AS61" i="22" s="1"/>
  <c r="BC61" i="22" s="1"/>
  <c r="N61" i="22"/>
  <c r="R60" i="9"/>
  <c r="N67" i="12"/>
  <c r="AG53" i="23"/>
  <c r="AS53" i="23" s="1"/>
  <c r="BC53" i="23" s="1"/>
  <c r="AK41" i="12"/>
  <c r="BR41" i="12" s="1"/>
  <c r="AW41" i="12" s="1"/>
  <c r="U41" i="10"/>
  <c r="AL52" i="4"/>
  <c r="R44" i="9"/>
  <c r="AJ40" i="9"/>
  <c r="R52" i="9"/>
  <c r="R56" i="12"/>
  <c r="N50" i="10"/>
  <c r="AG50" i="10"/>
  <c r="AS50" i="10" s="1"/>
  <c r="BC50" i="10" s="1"/>
  <c r="AS52" i="12"/>
  <c r="AG52" i="12"/>
  <c r="BN52" i="12" s="1"/>
  <c r="I43" i="12"/>
  <c r="O43" i="12" s="1"/>
  <c r="O44" i="12" s="1"/>
  <c r="R46" i="9"/>
  <c r="AF46" i="9"/>
  <c r="N46" i="9"/>
  <c r="O53" i="19"/>
  <c r="AB53" i="19" s="1"/>
  <c r="F43" i="19"/>
  <c r="AS59" i="24"/>
  <c r="V41" i="23"/>
  <c r="N55" i="22"/>
  <c r="N46" i="21"/>
  <c r="AG61" i="26"/>
  <c r="AS61" i="26" s="1"/>
  <c r="BC61" i="26" s="1"/>
  <c r="R61" i="26"/>
  <c r="N69" i="26"/>
  <c r="R69" i="26"/>
  <c r="N70" i="26"/>
  <c r="R70" i="26"/>
  <c r="R51" i="29"/>
  <c r="AF51" i="29"/>
  <c r="N51" i="29"/>
  <c r="H44" i="1"/>
  <c r="H45" i="1" s="1"/>
  <c r="H46" i="1" s="1"/>
  <c r="H47" i="1" s="1"/>
  <c r="H48" i="1" s="1"/>
  <c r="H49" i="1" s="1"/>
  <c r="N48" i="9"/>
  <c r="AF48" i="9"/>
  <c r="AL44" i="19"/>
  <c r="O44" i="19"/>
  <c r="AB44" i="19" s="1"/>
  <c r="S41" i="23"/>
  <c r="AH41" i="23"/>
  <c r="AT41" i="23" s="1"/>
  <c r="BD41" i="23" s="1"/>
  <c r="AL54" i="25"/>
  <c r="O54" i="25"/>
  <c r="AB54" i="25" s="1"/>
  <c r="AF52" i="9"/>
  <c r="N59" i="10"/>
  <c r="A28" i="14"/>
  <c r="AN40" i="20"/>
  <c r="AZ40" i="20" s="1"/>
  <c r="BJ40" i="20" s="1"/>
  <c r="Y40" i="20"/>
  <c r="I43" i="1"/>
  <c r="C3" i="14" s="1"/>
  <c r="AF44" i="9"/>
  <c r="T41" i="9"/>
  <c r="N56" i="12"/>
  <c r="AG67" i="12"/>
  <c r="BN67" i="12" s="1"/>
  <c r="N68" i="9"/>
  <c r="A21" i="14"/>
  <c r="O61" i="4"/>
  <c r="AB61" i="4" s="1"/>
  <c r="R46" i="10"/>
  <c r="N46" i="10"/>
  <c r="T40" i="20"/>
  <c r="N69" i="20"/>
  <c r="AG69" i="20"/>
  <c r="AS69" i="20" s="1"/>
  <c r="BC69" i="20" s="1"/>
  <c r="Y41" i="22"/>
  <c r="AI41" i="22"/>
  <c r="AU41" i="22" s="1"/>
  <c r="BE41" i="22" s="1"/>
  <c r="T41" i="22"/>
  <c r="AG53" i="24"/>
  <c r="BN53" i="24" s="1"/>
  <c r="AS53" i="24"/>
  <c r="N62" i="24"/>
  <c r="AS62" i="24"/>
  <c r="O67" i="25"/>
  <c r="AB67" i="25" s="1"/>
  <c r="AL67" i="25"/>
  <c r="T40" i="29"/>
  <c r="AH40" i="29"/>
  <c r="B43" i="19"/>
  <c r="AG48" i="23"/>
  <c r="AS48" i="23" s="1"/>
  <c r="BC48" i="23" s="1"/>
  <c r="AF45" i="21"/>
  <c r="AG69" i="23"/>
  <c r="AS69" i="23" s="1"/>
  <c r="BC69" i="23" s="1"/>
  <c r="R71" i="22"/>
  <c r="AG54" i="22"/>
  <c r="AS54" i="22" s="1"/>
  <c r="BC54" i="22" s="1"/>
  <c r="R60" i="10"/>
  <c r="N60" i="10"/>
  <c r="AG60" i="10"/>
  <c r="AS60" i="10" s="1"/>
  <c r="BC60" i="10" s="1"/>
  <c r="AG45" i="10"/>
  <c r="AS45" i="10" s="1"/>
  <c r="BC45" i="10" s="1"/>
  <c r="R45" i="10"/>
  <c r="AM41" i="22"/>
  <c r="AY41" i="22" s="1"/>
  <c r="BI41" i="22" s="1"/>
  <c r="X41" i="22"/>
  <c r="N47" i="29"/>
  <c r="AF47" i="29"/>
  <c r="R47" i="29"/>
  <c r="AG59" i="20"/>
  <c r="AS59" i="20" s="1"/>
  <c r="BC59" i="20" s="1"/>
  <c r="N59" i="20"/>
  <c r="N61" i="20"/>
  <c r="R61" i="20"/>
  <c r="AL40" i="24"/>
  <c r="BS40" i="24" s="1"/>
  <c r="AX40" i="24" s="1"/>
  <c r="W40" i="24"/>
  <c r="AS42" i="24"/>
  <c r="N42" i="24"/>
  <c r="R59" i="24"/>
  <c r="N59" i="24"/>
  <c r="AG67" i="24"/>
  <c r="N67" i="24"/>
  <c r="R52" i="26"/>
  <c r="AG52" i="26"/>
  <c r="AS52" i="26" s="1"/>
  <c r="BC52" i="26" s="1"/>
  <c r="R54" i="21"/>
  <c r="N54" i="21"/>
  <c r="R50" i="21"/>
  <c r="N50" i="21"/>
  <c r="V40" i="12"/>
  <c r="AG60" i="12"/>
  <c r="BN60" i="12" s="1"/>
  <c r="AG54" i="10"/>
  <c r="AS54" i="10" s="1"/>
  <c r="BC54" i="10" s="1"/>
  <c r="H43" i="7"/>
  <c r="AH43" i="7" s="1"/>
  <c r="H44" i="7" s="1"/>
  <c r="AH44" i="7" s="1"/>
  <c r="H45" i="7" s="1"/>
  <c r="AS61" i="12"/>
  <c r="AG61" i="12"/>
  <c r="BN61" i="12" s="1"/>
  <c r="AL58" i="19"/>
  <c r="N58" i="20"/>
  <c r="W40" i="20"/>
  <c r="AS67" i="24"/>
  <c r="AF54" i="21"/>
  <c r="AF70" i="21"/>
  <c r="AM40" i="23"/>
  <c r="AY40" i="23" s="1"/>
  <c r="BI40" i="23" s="1"/>
  <c r="X40" i="23"/>
  <c r="AG61" i="23"/>
  <c r="AS61" i="23" s="1"/>
  <c r="BC61" i="23" s="1"/>
  <c r="R61" i="23"/>
  <c r="N67" i="23"/>
  <c r="AG67" i="23"/>
  <c r="AS67" i="23" s="1"/>
  <c r="BC67" i="23" s="1"/>
  <c r="N72" i="23"/>
  <c r="AG72" i="23"/>
  <c r="AS72" i="23" s="1"/>
  <c r="BC72" i="23" s="1"/>
  <c r="AI40" i="24"/>
  <c r="BP40" i="24" s="1"/>
  <c r="AU40" i="24" s="1"/>
  <c r="T40" i="24"/>
  <c r="AM40" i="24"/>
  <c r="BT40" i="24" s="1"/>
  <c r="AY40" i="24" s="1"/>
  <c r="X40" i="24"/>
  <c r="N52" i="26"/>
  <c r="AJ40" i="26"/>
  <c r="AV40" i="26" s="1"/>
  <c r="BF40" i="26" s="1"/>
  <c r="AG51" i="26"/>
  <c r="AS51" i="26" s="1"/>
  <c r="BC51" i="26" s="1"/>
  <c r="N51" i="26"/>
  <c r="R53" i="29"/>
  <c r="AF53" i="29"/>
  <c r="N53" i="29"/>
  <c r="N67" i="29"/>
  <c r="AF67" i="29"/>
  <c r="N69" i="29"/>
  <c r="R69" i="29"/>
  <c r="R72" i="21"/>
  <c r="N72" i="21"/>
  <c r="AF72" i="21"/>
  <c r="R63" i="10"/>
  <c r="N63" i="10"/>
  <c r="AL50" i="19"/>
  <c r="O50" i="19"/>
  <c r="AB50" i="19" s="1"/>
  <c r="R59" i="21"/>
  <c r="AF59" i="21"/>
  <c r="N45" i="10"/>
  <c r="C44" i="1"/>
  <c r="AF51" i="9"/>
  <c r="R59" i="9"/>
  <c r="O64" i="19"/>
  <c r="AB64" i="19" s="1"/>
  <c r="AL43" i="19"/>
  <c r="O43" i="19"/>
  <c r="AB43" i="19" s="1"/>
  <c r="AL41" i="20"/>
  <c r="AX41" i="20" s="1"/>
  <c r="BH41" i="20" s="1"/>
  <c r="W41" i="20"/>
  <c r="N44" i="20"/>
  <c r="AG44" i="20"/>
  <c r="AS44" i="20" s="1"/>
  <c r="BC44" i="20" s="1"/>
  <c r="R44" i="20"/>
  <c r="AG52" i="20"/>
  <c r="AS52" i="20" s="1"/>
  <c r="BC52" i="20" s="1"/>
  <c r="N52" i="20"/>
  <c r="R60" i="20"/>
  <c r="N60" i="20"/>
  <c r="N59" i="21"/>
  <c r="T39" i="24"/>
  <c r="AI39" i="24"/>
  <c r="BP39" i="24" s="1"/>
  <c r="AU39" i="24" s="1"/>
  <c r="AS60" i="24"/>
  <c r="AG60" i="24"/>
  <c r="BN60" i="24" s="1"/>
  <c r="AS68" i="24"/>
  <c r="AG68" i="24"/>
  <c r="BN68" i="24" s="1"/>
  <c r="N68" i="24"/>
  <c r="Y40" i="26"/>
  <c r="AN40" i="26"/>
  <c r="AZ40" i="26" s="1"/>
  <c r="BJ40" i="26" s="1"/>
  <c r="AN41" i="12"/>
  <c r="BU41" i="12" s="1"/>
  <c r="AZ41" i="12" s="1"/>
  <c r="R53" i="10"/>
  <c r="AG46" i="10"/>
  <c r="AS46" i="10" s="1"/>
  <c r="BC46" i="10" s="1"/>
  <c r="N51" i="9"/>
  <c r="AF50" i="9"/>
  <c r="B43" i="7"/>
  <c r="AB43" i="7" s="1"/>
  <c r="B44" i="7" s="1"/>
  <c r="AB44" i="7" s="1"/>
  <c r="B45" i="7" s="1"/>
  <c r="AB45" i="7" s="1"/>
  <c r="B46" i="7" s="1"/>
  <c r="AB46" i="7" s="1"/>
  <c r="B47" i="7" s="1"/>
  <c r="AB47" i="7" s="1"/>
  <c r="AG63" i="10"/>
  <c r="AS63" i="10" s="1"/>
  <c r="BC63" i="10" s="1"/>
  <c r="T41" i="10"/>
  <c r="I42" i="4"/>
  <c r="P42" i="4" s="1"/>
  <c r="AC42" i="4" s="1"/>
  <c r="AM42" i="4" s="1"/>
  <c r="R60" i="12"/>
  <c r="X41" i="10"/>
  <c r="Y41" i="10"/>
  <c r="AL53" i="4"/>
  <c r="AL57" i="4"/>
  <c r="N50" i="9"/>
  <c r="N53" i="10"/>
  <c r="S41" i="12"/>
  <c r="AS67" i="12"/>
  <c r="O44" i="4"/>
  <c r="AB44" i="4" s="1"/>
  <c r="A4" i="14"/>
  <c r="AL44" i="4"/>
  <c r="AG41" i="9"/>
  <c r="N68" i="12"/>
  <c r="A30" i="14"/>
  <c r="AL70" i="4"/>
  <c r="AL66" i="19"/>
  <c r="O62" i="19"/>
  <c r="AB62" i="19" s="1"/>
  <c r="AG61" i="20"/>
  <c r="AS61" i="20" s="1"/>
  <c r="BC61" i="20" s="1"/>
  <c r="AG58" i="20"/>
  <c r="AS58" i="20" s="1"/>
  <c r="BC58" i="20" s="1"/>
  <c r="R63" i="20"/>
  <c r="N60" i="24"/>
  <c r="R53" i="23"/>
  <c r="N70" i="21"/>
  <c r="R70" i="23"/>
  <c r="R67" i="23"/>
  <c r="T40" i="21"/>
  <c r="AH40" i="21"/>
  <c r="W40" i="21"/>
  <c r="AK40" i="21"/>
  <c r="R69" i="22"/>
  <c r="N69" i="22"/>
  <c r="U40" i="23"/>
  <c r="AJ40" i="23"/>
  <c r="AV40" i="23" s="1"/>
  <c r="BF40" i="23" s="1"/>
  <c r="AN40" i="23"/>
  <c r="AZ40" i="23" s="1"/>
  <c r="BJ40" i="23" s="1"/>
  <c r="Y40" i="23"/>
  <c r="AJ41" i="23"/>
  <c r="AV41" i="23" s="1"/>
  <c r="BF41" i="23" s="1"/>
  <c r="U41" i="23"/>
  <c r="R50" i="26"/>
  <c r="N50" i="26"/>
  <c r="H44" i="28"/>
  <c r="H45" i="28" s="1"/>
  <c r="H46" i="28" s="1"/>
  <c r="H47" i="28" s="1"/>
  <c r="H48" i="28" s="1"/>
  <c r="H49" i="28" s="1"/>
  <c r="H50" i="28" s="1"/>
  <c r="H51" i="28" s="1"/>
  <c r="H52" i="28" s="1"/>
  <c r="H53" i="28" s="1"/>
  <c r="H54" i="28" s="1"/>
  <c r="H55" i="28" s="1"/>
  <c r="H56" i="28" s="1"/>
  <c r="V40" i="29"/>
  <c r="AJ40" i="29"/>
  <c r="O65" i="19"/>
  <c r="AB65" i="19" s="1"/>
  <c r="AL55" i="19"/>
  <c r="AL48" i="4"/>
  <c r="A8" i="14"/>
  <c r="O48" i="4"/>
  <c r="AB48" i="4" s="1"/>
  <c r="R48" i="10"/>
  <c r="AG48" i="10"/>
  <c r="AS48" i="10" s="1"/>
  <c r="BC48" i="10" s="1"/>
  <c r="N48" i="10"/>
  <c r="O47" i="25"/>
  <c r="AB47" i="25" s="1"/>
  <c r="AL47" i="25"/>
  <c r="AH41" i="29"/>
  <c r="T41" i="29"/>
  <c r="N4" i="20"/>
  <c r="N4" i="12"/>
  <c r="N4" i="10"/>
  <c r="N8" i="20"/>
  <c r="N8" i="10"/>
  <c r="N8" i="12"/>
  <c r="N12" i="20"/>
  <c r="N12" i="10"/>
  <c r="N12" i="12"/>
  <c r="N3" i="20"/>
  <c r="N3" i="12"/>
  <c r="N53" i="12"/>
  <c r="O57" i="4"/>
  <c r="AB57" i="4" s="1"/>
  <c r="N52" i="10"/>
  <c r="C43" i="4"/>
  <c r="AN43" i="4" s="1"/>
  <c r="C44" i="4" s="1"/>
  <c r="AN44" i="4" s="1"/>
  <c r="C45" i="4" s="1"/>
  <c r="AN45" i="4" s="1"/>
  <c r="C46" i="4" s="1"/>
  <c r="F43" i="4"/>
  <c r="AQ43" i="4" s="1"/>
  <c r="F44" i="4" s="1"/>
  <c r="AQ44" i="4" s="1"/>
  <c r="F45" i="4" s="1"/>
  <c r="AJ41" i="21"/>
  <c r="R64" i="22"/>
  <c r="N64" i="22"/>
  <c r="N65" i="22"/>
  <c r="AG65" i="22"/>
  <c r="AS65" i="22" s="1"/>
  <c r="BC65" i="22" s="1"/>
  <c r="R65" i="22"/>
  <c r="Y39" i="24"/>
  <c r="AN39" i="24"/>
  <c r="BU39" i="24" s="1"/>
  <c r="AZ39" i="24" s="1"/>
  <c r="R57" i="24"/>
  <c r="AS57" i="24"/>
  <c r="N57" i="24"/>
  <c r="AG57" i="24"/>
  <c r="BN57" i="24" s="1"/>
  <c r="AJ41" i="26"/>
  <c r="AV41" i="26" s="1"/>
  <c r="BF41" i="26" s="1"/>
  <c r="U41" i="26"/>
  <c r="AF61" i="29"/>
  <c r="N61" i="29"/>
  <c r="R61" i="29"/>
  <c r="N71" i="29"/>
  <c r="R71" i="29"/>
  <c r="R69" i="21"/>
  <c r="N69" i="21"/>
  <c r="R61" i="21"/>
  <c r="AF61" i="21"/>
  <c r="R58" i="21"/>
  <c r="N58" i="21"/>
  <c r="AF58" i="21"/>
  <c r="N6" i="20"/>
  <c r="N6" i="10"/>
  <c r="N16" i="10"/>
  <c r="N16" i="20"/>
  <c r="N16" i="12"/>
  <c r="N18" i="20"/>
  <c r="N18" i="12"/>
  <c r="N18" i="10"/>
  <c r="N24" i="10"/>
  <c r="N24" i="12"/>
  <c r="N32" i="12"/>
  <c r="N32" i="20"/>
  <c r="N32" i="10"/>
  <c r="R53" i="12"/>
  <c r="AL60" i="4"/>
  <c r="R44" i="10"/>
  <c r="N43" i="10"/>
  <c r="N3" i="10"/>
  <c r="S40" i="20"/>
  <c r="AH40" i="20"/>
  <c r="AT40" i="20" s="1"/>
  <c r="BD40" i="20" s="1"/>
  <c r="AH41" i="21"/>
  <c r="T41" i="21"/>
  <c r="N44" i="22"/>
  <c r="R44" i="22"/>
  <c r="AG47" i="22"/>
  <c r="AS47" i="22" s="1"/>
  <c r="BC47" i="22" s="1"/>
  <c r="R47" i="22"/>
  <c r="AS63" i="24"/>
  <c r="AG63" i="24"/>
  <c r="BN63" i="24" s="1"/>
  <c r="R63" i="24"/>
  <c r="N71" i="24"/>
  <c r="AS71" i="24"/>
  <c r="R71" i="24"/>
  <c r="O53" i="25"/>
  <c r="AB53" i="25" s="1"/>
  <c r="AL53" i="25"/>
  <c r="AL61" i="25"/>
  <c r="O61" i="25"/>
  <c r="AB61" i="25" s="1"/>
  <c r="R57" i="21"/>
  <c r="N57" i="21"/>
  <c r="AG45" i="24"/>
  <c r="BN45" i="24" s="1"/>
  <c r="R45" i="24"/>
  <c r="N45" i="24"/>
  <c r="Y40" i="29"/>
  <c r="AM40" i="29"/>
  <c r="N10" i="20"/>
  <c r="N10" i="12"/>
  <c r="N10" i="10"/>
  <c r="N14" i="20"/>
  <c r="N14" i="12"/>
  <c r="N14" i="10"/>
  <c r="N20" i="10"/>
  <c r="N20" i="12"/>
  <c r="N22" i="12"/>
  <c r="N22" i="10"/>
  <c r="N26" i="20"/>
  <c r="N26" i="12"/>
  <c r="N26" i="10"/>
  <c r="N28" i="20"/>
  <c r="N28" i="10"/>
  <c r="N28" i="12"/>
  <c r="AG53" i="12"/>
  <c r="BN53" i="12" s="1"/>
  <c r="R43" i="10"/>
  <c r="O60" i="4"/>
  <c r="AB60" i="4" s="1"/>
  <c r="O45" i="19"/>
  <c r="AB45" i="19" s="1"/>
  <c r="O52" i="19"/>
  <c r="AB52" i="19" s="1"/>
  <c r="AL52" i="19"/>
  <c r="AO42" i="20"/>
  <c r="BA42" i="20" s="1"/>
  <c r="BK42" i="20" s="1"/>
  <c r="AI42" i="20"/>
  <c r="AU42" i="20" s="1"/>
  <c r="BE42" i="20" s="1"/>
  <c r="AN42" i="20"/>
  <c r="AZ42" i="20" s="1"/>
  <c r="BJ42" i="20" s="1"/>
  <c r="AS45" i="24"/>
  <c r="AG51" i="22"/>
  <c r="AS51" i="22" s="1"/>
  <c r="BC51" i="22" s="1"/>
  <c r="R51" i="22"/>
  <c r="N51" i="22"/>
  <c r="W41" i="23"/>
  <c r="AL41" i="23"/>
  <c r="AX41" i="23" s="1"/>
  <c r="BH41" i="23" s="1"/>
  <c r="N44" i="23"/>
  <c r="AG44" i="23"/>
  <c r="AS44" i="23" s="1"/>
  <c r="BC44" i="23" s="1"/>
  <c r="AG45" i="23"/>
  <c r="AS45" i="23" s="1"/>
  <c r="BC45" i="23" s="1"/>
  <c r="R45" i="23"/>
  <c r="N46" i="23"/>
  <c r="AG46" i="23"/>
  <c r="AS46" i="23" s="1"/>
  <c r="BC46" i="23" s="1"/>
  <c r="N47" i="23"/>
  <c r="AG47" i="23"/>
  <c r="AS47" i="23" s="1"/>
  <c r="BC47" i="23" s="1"/>
  <c r="AG51" i="23"/>
  <c r="AS51" i="23" s="1"/>
  <c r="BC51" i="23" s="1"/>
  <c r="R51" i="23"/>
  <c r="R64" i="29"/>
  <c r="N64" i="29"/>
  <c r="R68" i="29"/>
  <c r="AF68" i="29"/>
  <c r="AK42" i="29"/>
  <c r="AN42" i="29"/>
  <c r="AM42" i="29"/>
  <c r="AH42" i="29"/>
  <c r="F43" i="7"/>
  <c r="AF43" i="7" s="1"/>
  <c r="F44" i="7" s="1"/>
  <c r="AH42" i="10"/>
  <c r="AT42" i="10" s="1"/>
  <c r="BD42" i="10" s="1"/>
  <c r="H43" i="19"/>
  <c r="C44" i="28"/>
  <c r="C45" i="28" s="1"/>
  <c r="C46" i="28" s="1"/>
  <c r="C47" i="28" s="1"/>
  <c r="C48" i="28" s="1"/>
  <c r="C49" i="28" s="1"/>
  <c r="C50" i="28" s="1"/>
  <c r="C51" i="28" s="1"/>
  <c r="C52" i="28" s="1"/>
  <c r="C53" i="28" s="1"/>
  <c r="AS47" i="12"/>
  <c r="AG47" i="12"/>
  <c r="BN47" i="12" s="1"/>
  <c r="N47" i="12"/>
  <c r="R47" i="12"/>
  <c r="N56" i="9"/>
  <c r="AF56" i="9"/>
  <c r="R56" i="9"/>
  <c r="N64" i="24"/>
  <c r="AG64" i="24"/>
  <c r="BN64" i="24" s="1"/>
  <c r="R64" i="24"/>
  <c r="AS64" i="24"/>
  <c r="R66" i="29"/>
  <c r="N66" i="29"/>
  <c r="AF66" i="29"/>
  <c r="AM40" i="10"/>
  <c r="AY40" i="10" s="1"/>
  <c r="BI40" i="10" s="1"/>
  <c r="X40" i="10"/>
  <c r="N55" i="9"/>
  <c r="AF55" i="9"/>
  <c r="R55" i="9"/>
  <c r="O69" i="19"/>
  <c r="AB69" i="19" s="1"/>
  <c r="AL69" i="19"/>
  <c r="T40" i="22"/>
  <c r="AI40" i="22"/>
  <c r="AU40" i="22" s="1"/>
  <c r="BE40" i="22" s="1"/>
  <c r="N58" i="22"/>
  <c r="AG58" i="22"/>
  <c r="AS58" i="22" s="1"/>
  <c r="BC58" i="22" s="1"/>
  <c r="R58" i="22"/>
  <c r="R62" i="22"/>
  <c r="AG62" i="22"/>
  <c r="AS62" i="22" s="1"/>
  <c r="BC62" i="22" s="1"/>
  <c r="N62" i="22"/>
  <c r="W40" i="26"/>
  <c r="AL40" i="26"/>
  <c r="AX40" i="26" s="1"/>
  <c r="BH40" i="26" s="1"/>
  <c r="AI41" i="29"/>
  <c r="U41" i="29"/>
  <c r="R70" i="29"/>
  <c r="N70" i="29"/>
  <c r="AF70" i="29"/>
  <c r="R51" i="21"/>
  <c r="N51" i="21"/>
  <c r="AF51" i="21"/>
  <c r="R47" i="9"/>
  <c r="N47" i="9"/>
  <c r="AF47" i="9"/>
  <c r="O71" i="19"/>
  <c r="AB71" i="19" s="1"/>
  <c r="AL71" i="19"/>
  <c r="X41" i="23"/>
  <c r="AM41" i="23"/>
  <c r="AY41" i="23" s="1"/>
  <c r="BI41" i="23" s="1"/>
  <c r="AL46" i="25"/>
  <c r="O46" i="25"/>
  <c r="AB46" i="25" s="1"/>
  <c r="X40" i="26"/>
  <c r="AM40" i="26"/>
  <c r="AY40" i="26" s="1"/>
  <c r="BI40" i="26" s="1"/>
  <c r="AL40" i="12"/>
  <c r="BS40" i="12" s="1"/>
  <c r="AX40" i="12" s="1"/>
  <c r="W40" i="12"/>
  <c r="R65" i="21"/>
  <c r="N65" i="21"/>
  <c r="AF65" i="21"/>
  <c r="A24" i="14"/>
  <c r="O64" i="4"/>
  <c r="AB64" i="4" s="1"/>
  <c r="AL64" i="4"/>
  <c r="W41" i="12"/>
  <c r="AL41" i="12"/>
  <c r="BS41" i="12" s="1"/>
  <c r="AX41" i="12" s="1"/>
  <c r="AF61" i="9"/>
  <c r="N61" i="9"/>
  <c r="R61" i="9"/>
  <c r="R49" i="10"/>
  <c r="N49" i="10"/>
  <c r="AG49" i="10"/>
  <c r="AS49" i="10" s="1"/>
  <c r="BC49" i="10" s="1"/>
  <c r="AG58" i="10"/>
  <c r="AS58" i="10" s="1"/>
  <c r="BC58" i="10" s="1"/>
  <c r="N58" i="10"/>
  <c r="R58" i="10"/>
  <c r="R62" i="10"/>
  <c r="AG62" i="10"/>
  <c r="AS62" i="10" s="1"/>
  <c r="BC62" i="10" s="1"/>
  <c r="N62" i="10"/>
  <c r="AG66" i="10"/>
  <c r="AS66" i="10" s="1"/>
  <c r="BC66" i="10" s="1"/>
  <c r="N66" i="10"/>
  <c r="R66" i="10"/>
  <c r="AG72" i="10"/>
  <c r="AS72" i="10" s="1"/>
  <c r="BC72" i="10" s="1"/>
  <c r="R72" i="10"/>
  <c r="AK40" i="22"/>
  <c r="AW40" i="22" s="1"/>
  <c r="BG40" i="22" s="1"/>
  <c r="V40" i="22"/>
  <c r="AK41" i="22"/>
  <c r="AW41" i="22" s="1"/>
  <c r="BG41" i="22" s="1"/>
  <c r="V41" i="22"/>
  <c r="AG63" i="22"/>
  <c r="AS63" i="22" s="1"/>
  <c r="BC63" i="22" s="1"/>
  <c r="R63" i="22"/>
  <c r="N63" i="22"/>
  <c r="AH40" i="10"/>
  <c r="AT40" i="10" s="1"/>
  <c r="BD40" i="10" s="1"/>
  <c r="S40" i="10"/>
  <c r="AS49" i="12"/>
  <c r="AG49" i="12"/>
  <c r="BN49" i="12" s="1"/>
  <c r="N49" i="12"/>
  <c r="R49" i="12"/>
  <c r="AF45" i="9"/>
  <c r="R45" i="9"/>
  <c r="N45" i="9"/>
  <c r="AS48" i="24"/>
  <c r="R48" i="24"/>
  <c r="AG48" i="24"/>
  <c r="BN48" i="24" s="1"/>
  <c r="N48" i="24"/>
  <c r="I43" i="25"/>
  <c r="AC43" i="25" s="1"/>
  <c r="AM41" i="26"/>
  <c r="AY41" i="26" s="1"/>
  <c r="BI41" i="26" s="1"/>
  <c r="X41" i="26"/>
  <c r="X41" i="29"/>
  <c r="AL41" i="29"/>
  <c r="R55" i="21"/>
  <c r="AF55" i="21"/>
  <c r="N55" i="21"/>
  <c r="R67" i="9"/>
  <c r="AF67" i="9"/>
  <c r="N67" i="9"/>
  <c r="I43" i="9"/>
  <c r="R43" i="23"/>
  <c r="N43" i="23"/>
  <c r="AG43" i="23"/>
  <c r="AS43" i="23" s="1"/>
  <c r="BC43" i="23" s="1"/>
  <c r="R47" i="24"/>
  <c r="N47" i="24"/>
  <c r="AS47" i="24"/>
  <c r="AG47" i="24"/>
  <c r="BN47" i="24" s="1"/>
  <c r="AS70" i="24"/>
  <c r="AG70" i="24"/>
  <c r="N70" i="24"/>
  <c r="R70" i="24"/>
  <c r="S40" i="26"/>
  <c r="AH40" i="26"/>
  <c r="AT40" i="26" s="1"/>
  <c r="BD40" i="26" s="1"/>
  <c r="AN41" i="26"/>
  <c r="AZ41" i="26" s="1"/>
  <c r="BJ41" i="26" s="1"/>
  <c r="Y41" i="26"/>
  <c r="O43" i="4"/>
  <c r="AB43" i="4" s="1"/>
  <c r="AL43" i="4"/>
  <c r="AS46" i="12"/>
  <c r="N46" i="12"/>
  <c r="AG46" i="12"/>
  <c r="BN46" i="12" s="1"/>
  <c r="R46" i="12"/>
  <c r="AG40" i="9"/>
  <c r="S40" i="9"/>
  <c r="AJ40" i="21"/>
  <c r="V40" i="21"/>
  <c r="R60" i="23"/>
  <c r="AG60" i="23"/>
  <c r="AS60" i="23" s="1"/>
  <c r="BC60" i="23" s="1"/>
  <c r="N60" i="23"/>
  <c r="R68" i="23"/>
  <c r="AG68" i="23"/>
  <c r="AS68" i="23" s="1"/>
  <c r="BC68" i="23" s="1"/>
  <c r="N68" i="23"/>
  <c r="AS46" i="24"/>
  <c r="N46" i="24"/>
  <c r="AG46" i="24"/>
  <c r="BN46" i="24" s="1"/>
  <c r="R46" i="24"/>
  <c r="R67" i="21"/>
  <c r="AF67" i="21"/>
  <c r="N67" i="21"/>
  <c r="R53" i="21"/>
  <c r="AF53" i="21"/>
  <c r="N53" i="21"/>
  <c r="AG67" i="22"/>
  <c r="AS67" i="22" s="1"/>
  <c r="BC67" i="22" s="1"/>
  <c r="R67" i="22"/>
  <c r="N67" i="22"/>
  <c r="R68" i="22"/>
  <c r="AG68" i="22"/>
  <c r="AS68" i="22" s="1"/>
  <c r="BC68" i="22" s="1"/>
  <c r="N68" i="22"/>
  <c r="N65" i="23"/>
  <c r="R65" i="23"/>
  <c r="AG65" i="23"/>
  <c r="AS65" i="23" s="1"/>
  <c r="BC65" i="23" s="1"/>
  <c r="X39" i="24"/>
  <c r="AM39" i="24"/>
  <c r="BT39" i="24" s="1"/>
  <c r="AY39" i="24" s="1"/>
  <c r="R65" i="24"/>
  <c r="AG65" i="24"/>
  <c r="BN65" i="24" s="1"/>
  <c r="N65" i="24"/>
  <c r="AS65" i="24"/>
  <c r="AG66" i="24"/>
  <c r="BN66" i="24" s="1"/>
  <c r="AS66" i="24"/>
  <c r="N66" i="24"/>
  <c r="R66" i="24"/>
  <c r="AG41" i="29"/>
  <c r="S41" i="29"/>
  <c r="R67" i="10"/>
  <c r="R55" i="12"/>
  <c r="AG55" i="12"/>
  <c r="BN55" i="12" s="1"/>
  <c r="AS66" i="12"/>
  <c r="R72" i="20"/>
  <c r="U39" i="24"/>
  <c r="AS50" i="24"/>
  <c r="AG62" i="23"/>
  <c r="AS62" i="23" s="1"/>
  <c r="BC62" i="23" s="1"/>
  <c r="AG58" i="23"/>
  <c r="AS58" i="23" s="1"/>
  <c r="BC58" i="23" s="1"/>
  <c r="AF60" i="21"/>
  <c r="AF49" i="21"/>
  <c r="N54" i="9"/>
  <c r="N67" i="10"/>
  <c r="N66" i="12"/>
  <c r="AH42" i="7"/>
  <c r="AF42" i="7"/>
  <c r="N50" i="24"/>
  <c r="AG42" i="24"/>
  <c r="BN42" i="24" s="1"/>
  <c r="N61" i="23"/>
  <c r="N60" i="21"/>
  <c r="N60" i="22"/>
  <c r="N60" i="9"/>
  <c r="R51" i="12"/>
  <c r="AF70" i="9"/>
  <c r="R42" i="24"/>
  <c r="AG53" i="22"/>
  <c r="AS53" i="22" s="1"/>
  <c r="BC53" i="22" s="1"/>
  <c r="R63" i="23"/>
  <c r="R54" i="23"/>
  <c r="N49" i="21"/>
  <c r="R60" i="26"/>
  <c r="O59" i="25"/>
  <c r="AB59" i="25" s="1"/>
  <c r="O43" i="25"/>
  <c r="AB43" i="25" s="1"/>
  <c r="N68" i="29"/>
  <c r="R56" i="10"/>
  <c r="N56" i="10"/>
  <c r="R66" i="12"/>
  <c r="O49" i="19"/>
  <c r="AB49" i="19" s="1"/>
  <c r="N53" i="22"/>
  <c r="N63" i="23"/>
  <c r="N54" i="23"/>
  <c r="R54" i="9"/>
  <c r="AG51" i="12"/>
  <c r="BN51" i="12" s="1"/>
  <c r="AL46" i="19"/>
  <c r="AK40" i="20"/>
  <c r="AW40" i="20" s="1"/>
  <c r="BG40" i="20" s="1"/>
  <c r="R49" i="23"/>
  <c r="AI40" i="23"/>
  <c r="AU40" i="23" s="1"/>
  <c r="BE40" i="23" s="1"/>
  <c r="R60" i="22"/>
  <c r="N72" i="20"/>
  <c r="AG50" i="26"/>
  <c r="AS50" i="26" s="1"/>
  <c r="BC50" i="26" s="1"/>
  <c r="AF63" i="29"/>
  <c r="F44" i="28"/>
  <c r="F45" i="28" s="1"/>
  <c r="F46" i="28" s="1"/>
  <c r="F47" i="28" s="1"/>
  <c r="F48" i="28" s="1"/>
  <c r="F49" i="28" s="1"/>
  <c r="F50" i="28" s="1"/>
  <c r="F51" i="28" s="1"/>
  <c r="G52" i="28" s="1"/>
  <c r="G53" i="28" s="1"/>
  <c r="U40" i="12"/>
  <c r="R51" i="20"/>
  <c r="N49" i="23"/>
  <c r="R62" i="23"/>
  <c r="N58" i="23"/>
  <c r="S40" i="24"/>
  <c r="N63" i="29"/>
  <c r="R48" i="9"/>
  <c r="N55" i="12"/>
  <c r="AL67" i="19"/>
  <c r="AG51" i="20"/>
  <c r="AS51" i="20" s="1"/>
  <c r="BC51" i="20" s="1"/>
  <c r="R50" i="24"/>
  <c r="AG60" i="26"/>
  <c r="AS60" i="26" s="1"/>
  <c r="BC60" i="26" s="1"/>
  <c r="R56" i="21"/>
  <c r="N56" i="21"/>
  <c r="AF56" i="21"/>
  <c r="AM40" i="9"/>
  <c r="Y40" i="9"/>
  <c r="R62" i="21"/>
  <c r="N62" i="21"/>
  <c r="AF62" i="21"/>
  <c r="AS45" i="12"/>
  <c r="R45" i="12"/>
  <c r="N45" i="12"/>
  <c r="AG45" i="12"/>
  <c r="BN45" i="12" s="1"/>
  <c r="B49" i="1"/>
  <c r="F47" i="1"/>
  <c r="I43" i="10"/>
  <c r="N47" i="10"/>
  <c r="R47" i="10"/>
  <c r="AG47" i="10"/>
  <c r="AS47" i="10" s="1"/>
  <c r="BC47" i="10" s="1"/>
  <c r="R57" i="10"/>
  <c r="N57" i="10"/>
  <c r="AG57" i="10"/>
  <c r="AS57" i="10" s="1"/>
  <c r="BC57" i="10" s="1"/>
  <c r="N61" i="10"/>
  <c r="AG61" i="10"/>
  <c r="AS61" i="10" s="1"/>
  <c r="BC61" i="10" s="1"/>
  <c r="R61" i="10"/>
  <c r="AG65" i="10"/>
  <c r="AS65" i="10" s="1"/>
  <c r="BC65" i="10" s="1"/>
  <c r="N65" i="10"/>
  <c r="R65" i="10"/>
  <c r="AG69" i="10"/>
  <c r="AS69" i="10" s="1"/>
  <c r="BC69" i="10" s="1"/>
  <c r="N69" i="10"/>
  <c r="A26" i="14"/>
  <c r="AL66" i="4"/>
  <c r="O66" i="4"/>
  <c r="AB66" i="4" s="1"/>
  <c r="A16" i="14"/>
  <c r="O56" i="4"/>
  <c r="AB56" i="4" s="1"/>
  <c r="AL56" i="4"/>
  <c r="O49" i="4"/>
  <c r="AB49" i="4" s="1"/>
  <c r="AL49" i="4"/>
  <c r="A9" i="14"/>
  <c r="AC42" i="7"/>
  <c r="C43" i="7"/>
  <c r="I42" i="7"/>
  <c r="Q42" i="7" s="1"/>
  <c r="AL41" i="10"/>
  <c r="AX41" i="10" s="1"/>
  <c r="BH41" i="10" s="1"/>
  <c r="W41" i="10"/>
  <c r="O65" i="4"/>
  <c r="AB65" i="4" s="1"/>
  <c r="A25" i="14"/>
  <c r="AL65" i="4"/>
  <c r="O55" i="4"/>
  <c r="AB55" i="4" s="1"/>
  <c r="A15" i="14"/>
  <c r="AL55" i="4"/>
  <c r="AS48" i="12"/>
  <c r="AG48" i="12"/>
  <c r="BN48" i="12" s="1"/>
  <c r="N48" i="12"/>
  <c r="X40" i="9"/>
  <c r="AL40" i="9"/>
  <c r="AN42" i="21"/>
  <c r="W40" i="22"/>
  <c r="AL40" i="22"/>
  <c r="AX40" i="22" s="1"/>
  <c r="BH40" i="22" s="1"/>
  <c r="AH42" i="22"/>
  <c r="AT42" i="22" s="1"/>
  <c r="BD42" i="22" s="1"/>
  <c r="AL42" i="22"/>
  <c r="AX42" i="22" s="1"/>
  <c r="BH42" i="22" s="1"/>
  <c r="AO42" i="22"/>
  <c r="BA42" i="22" s="1"/>
  <c r="BK42" i="22" s="1"/>
  <c r="AN42" i="22"/>
  <c r="AZ42" i="22" s="1"/>
  <c r="BJ42" i="22" s="1"/>
  <c r="O43" i="29"/>
  <c r="J43" i="29"/>
  <c r="K43" i="29" s="1"/>
  <c r="L43" i="29" s="1"/>
  <c r="O54" i="4"/>
  <c r="AB54" i="4" s="1"/>
  <c r="AL54" i="4"/>
  <c r="A14" i="14"/>
  <c r="AL42" i="12"/>
  <c r="BS42" i="12" s="1"/>
  <c r="AX42" i="12" s="1"/>
  <c r="AN42" i="12"/>
  <c r="BU42" i="12" s="1"/>
  <c r="AZ42" i="12" s="1"/>
  <c r="AH42" i="12"/>
  <c r="BO42" i="12" s="1"/>
  <c r="AT42" i="12" s="1"/>
  <c r="AI42" i="12"/>
  <c r="BP42" i="12" s="1"/>
  <c r="AU42" i="12" s="1"/>
  <c r="W40" i="9"/>
  <c r="AK40" i="9"/>
  <c r="AL70" i="19"/>
  <c r="O70" i="19"/>
  <c r="AB70" i="19" s="1"/>
  <c r="AN41" i="20"/>
  <c r="AZ41" i="20" s="1"/>
  <c r="BJ41" i="20" s="1"/>
  <c r="Y41" i="20"/>
  <c r="AG48" i="20"/>
  <c r="AS48" i="20" s="1"/>
  <c r="BC48" i="20" s="1"/>
  <c r="R48" i="20"/>
  <c r="N48" i="20"/>
  <c r="N66" i="20"/>
  <c r="AG66" i="20"/>
  <c r="AS66" i="20" s="1"/>
  <c r="BC66" i="20" s="1"/>
  <c r="R66" i="20"/>
  <c r="N67" i="20"/>
  <c r="R67" i="20"/>
  <c r="AG67" i="20"/>
  <c r="AS67" i="20" s="1"/>
  <c r="BC67" i="20" s="1"/>
  <c r="R70" i="20"/>
  <c r="AG70" i="20"/>
  <c r="AS70" i="20" s="1"/>
  <c r="BC70" i="20" s="1"/>
  <c r="N70" i="20"/>
  <c r="AL48" i="25"/>
  <c r="O48" i="25"/>
  <c r="AB48" i="25" s="1"/>
  <c r="O51" i="25"/>
  <c r="AB51" i="25" s="1"/>
  <c r="AL51" i="25"/>
  <c r="AO42" i="26"/>
  <c r="BA42" i="26" s="1"/>
  <c r="BK42" i="26" s="1"/>
  <c r="AL42" i="26"/>
  <c r="AX42" i="26" s="1"/>
  <c r="BH42" i="26" s="1"/>
  <c r="AH42" i="26"/>
  <c r="AT42" i="26" s="1"/>
  <c r="BD42" i="26" s="1"/>
  <c r="AN42" i="26"/>
  <c r="AZ42" i="26" s="1"/>
  <c r="BJ42" i="26" s="1"/>
  <c r="A19" i="14"/>
  <c r="AL59" i="4"/>
  <c r="O59" i="4"/>
  <c r="AB59" i="4" s="1"/>
  <c r="AN40" i="10"/>
  <c r="AZ40" i="10" s="1"/>
  <c r="BJ40" i="10" s="1"/>
  <c r="Y40" i="10"/>
  <c r="R62" i="12"/>
  <c r="N62" i="12"/>
  <c r="AS62" i="12"/>
  <c r="AG62" i="12"/>
  <c r="BN62" i="12" s="1"/>
  <c r="X41" i="9"/>
  <c r="AL41" i="9"/>
  <c r="R58" i="9"/>
  <c r="AF58" i="9"/>
  <c r="AN42" i="9"/>
  <c r="AM42" i="9"/>
  <c r="AH42" i="9"/>
  <c r="AK42" i="9"/>
  <c r="AG42" i="9"/>
  <c r="AL63" i="4"/>
  <c r="A23" i="14"/>
  <c r="A18" i="14"/>
  <c r="O58" i="4"/>
  <c r="AB58" i="4" s="1"/>
  <c r="N51" i="10"/>
  <c r="R51" i="10"/>
  <c r="AG51" i="10"/>
  <c r="AS51" i="10" s="1"/>
  <c r="BC51" i="10" s="1"/>
  <c r="T41" i="12"/>
  <c r="AI41" i="12"/>
  <c r="BP41" i="12" s="1"/>
  <c r="AU41" i="12" s="1"/>
  <c r="AS43" i="12"/>
  <c r="AG43" i="12"/>
  <c r="BN43" i="12" s="1"/>
  <c r="N43" i="12"/>
  <c r="AK41" i="9"/>
  <c r="W41" i="9"/>
  <c r="AI40" i="9"/>
  <c r="U40" i="9"/>
  <c r="R64" i="9"/>
  <c r="N64" i="9"/>
  <c r="O62" i="4"/>
  <c r="AB62" i="4" s="1"/>
  <c r="A22" i="14"/>
  <c r="AL62" i="4"/>
  <c r="A11" i="14"/>
  <c r="O51" i="4"/>
  <c r="AB51" i="4" s="1"/>
  <c r="AL51" i="4"/>
  <c r="AL45" i="4"/>
  <c r="A5" i="14"/>
  <c r="AG63" i="12"/>
  <c r="BN63" i="12" s="1"/>
  <c r="N63" i="12"/>
  <c r="R63" i="12"/>
  <c r="AS63" i="12"/>
  <c r="N63" i="9"/>
  <c r="R63" i="9"/>
  <c r="AF63" i="9"/>
  <c r="A10" i="14"/>
  <c r="O50" i="4"/>
  <c r="AB50" i="4" s="1"/>
  <c r="AJ40" i="10"/>
  <c r="AV40" i="10" s="1"/>
  <c r="BF40" i="10" s="1"/>
  <c r="U40" i="10"/>
  <c r="AS44" i="12"/>
  <c r="N44" i="12"/>
  <c r="R44" i="12"/>
  <c r="AS50" i="12"/>
  <c r="R50" i="12"/>
  <c r="AG50" i="12"/>
  <c r="BN50" i="12" s="1"/>
  <c r="AS58" i="12"/>
  <c r="N58" i="12"/>
  <c r="R58" i="12"/>
  <c r="AG58" i="12"/>
  <c r="BN58" i="12" s="1"/>
  <c r="AS65" i="12"/>
  <c r="N65" i="12"/>
  <c r="AG65" i="12"/>
  <c r="BN65" i="12" s="1"/>
  <c r="AI41" i="9"/>
  <c r="U41" i="9"/>
  <c r="R43" i="9"/>
  <c r="AF43" i="9"/>
  <c r="O63" i="4"/>
  <c r="AB63" i="4" s="1"/>
  <c r="AL67" i="4"/>
  <c r="O67" i="4"/>
  <c r="AB67" i="4" s="1"/>
  <c r="V40" i="10"/>
  <c r="AK40" i="10"/>
  <c r="AW40" i="10" s="1"/>
  <c r="BG40" i="10" s="1"/>
  <c r="AK41" i="10"/>
  <c r="AW41" i="10" s="1"/>
  <c r="BG41" i="10" s="1"/>
  <c r="V41" i="10"/>
  <c r="N64" i="10"/>
  <c r="R64" i="10"/>
  <c r="AG64" i="10"/>
  <c r="AS64" i="10" s="1"/>
  <c r="BC64" i="10" s="1"/>
  <c r="AS64" i="12"/>
  <c r="AG64" i="12"/>
  <c r="BN64" i="12" s="1"/>
  <c r="R64" i="12"/>
  <c r="N64" i="12"/>
  <c r="A3" i="14"/>
  <c r="AL47" i="19"/>
  <c r="R47" i="20"/>
  <c r="AG47" i="20"/>
  <c r="AS47" i="20" s="1"/>
  <c r="BC47" i="20" s="1"/>
  <c r="AG54" i="20"/>
  <c r="AS54" i="20" s="1"/>
  <c r="BC54" i="20" s="1"/>
  <c r="N54" i="20"/>
  <c r="R54" i="20"/>
  <c r="R55" i="20"/>
  <c r="N55" i="20"/>
  <c r="AG55" i="20"/>
  <c r="AS55" i="20" s="1"/>
  <c r="BC55" i="20" s="1"/>
  <c r="AG64" i="20"/>
  <c r="AS64" i="20" s="1"/>
  <c r="BC64" i="20" s="1"/>
  <c r="N64" i="20"/>
  <c r="R64" i="20"/>
  <c r="AG65" i="20"/>
  <c r="AS65" i="20" s="1"/>
  <c r="BC65" i="20" s="1"/>
  <c r="R65" i="20"/>
  <c r="N65" i="20"/>
  <c r="A32" i="14"/>
  <c r="AL72" i="4"/>
  <c r="X40" i="22"/>
  <c r="AM40" i="22"/>
  <c r="AY40" i="22" s="1"/>
  <c r="BI40" i="22" s="1"/>
  <c r="N52" i="22"/>
  <c r="R52" i="22"/>
  <c r="AU42" i="23"/>
  <c r="BE42" i="23" s="1"/>
  <c r="I42" i="24"/>
  <c r="N49" i="24"/>
  <c r="AG49" i="24"/>
  <c r="BN49" i="24" s="1"/>
  <c r="AS49" i="24"/>
  <c r="AO41" i="24"/>
  <c r="BV41" i="24" s="1"/>
  <c r="BA41" i="24" s="1"/>
  <c r="BU41" i="24"/>
  <c r="AZ41" i="24" s="1"/>
  <c r="BS41" i="24"/>
  <c r="AX41" i="24" s="1"/>
  <c r="BO41" i="24"/>
  <c r="AT41" i="24" s="1"/>
  <c r="O50" i="25"/>
  <c r="AB50" i="25" s="1"/>
  <c r="R64" i="26"/>
  <c r="AG64" i="26"/>
  <c r="AS64" i="26" s="1"/>
  <c r="BC64" i="26" s="1"/>
  <c r="R65" i="26"/>
  <c r="N65" i="26"/>
  <c r="AG67" i="26"/>
  <c r="AS67" i="26" s="1"/>
  <c r="BC67" i="26" s="1"/>
  <c r="R67" i="26"/>
  <c r="N67" i="26"/>
  <c r="A29" i="14"/>
  <c r="AL69" i="4"/>
  <c r="AL56" i="19"/>
  <c r="O56" i="19"/>
  <c r="AB56" i="19" s="1"/>
  <c r="O60" i="19"/>
  <c r="AB60" i="19" s="1"/>
  <c r="AL60" i="19"/>
  <c r="S41" i="20"/>
  <c r="AH41" i="20"/>
  <c r="AT41" i="20" s="1"/>
  <c r="BD41" i="20" s="1"/>
  <c r="R43" i="20"/>
  <c r="AG43" i="20"/>
  <c r="AS43" i="20" s="1"/>
  <c r="BC43" i="20" s="1"/>
  <c r="N46" i="20"/>
  <c r="R46" i="20"/>
  <c r="U40" i="21"/>
  <c r="AI40" i="21"/>
  <c r="Y40" i="21"/>
  <c r="AM40" i="21"/>
  <c r="AI41" i="23"/>
  <c r="AU41" i="23" s="1"/>
  <c r="BE41" i="23" s="1"/>
  <c r="T41" i="23"/>
  <c r="R52" i="23"/>
  <c r="AG52" i="23"/>
  <c r="AS52" i="23" s="1"/>
  <c r="BC52" i="23" s="1"/>
  <c r="R71" i="23"/>
  <c r="N71" i="23"/>
  <c r="AG71" i="23"/>
  <c r="AS71" i="23" s="1"/>
  <c r="BC71" i="23" s="1"/>
  <c r="AL63" i="25"/>
  <c r="O63" i="25"/>
  <c r="AB63" i="25" s="1"/>
  <c r="N57" i="29"/>
  <c r="R57" i="29"/>
  <c r="AF57" i="29"/>
  <c r="N62" i="29"/>
  <c r="R62" i="29"/>
  <c r="AF62" i="29"/>
  <c r="N30" i="12"/>
  <c r="N30" i="20"/>
  <c r="N30" i="10"/>
  <c r="R73" i="23"/>
  <c r="AG73" i="23"/>
  <c r="AS73" i="23" s="1"/>
  <c r="BC73" i="23" s="1"/>
  <c r="AG68" i="10"/>
  <c r="AS68" i="10" s="1"/>
  <c r="BC68" i="10" s="1"/>
  <c r="N68" i="10"/>
  <c r="O68" i="19"/>
  <c r="AB68" i="19" s="1"/>
  <c r="AL68" i="19"/>
  <c r="C43" i="19"/>
  <c r="I42" i="19"/>
  <c r="Q42" i="19" s="1"/>
  <c r="AD42" i="19" s="1"/>
  <c r="AN42" i="19" s="1"/>
  <c r="AI41" i="20"/>
  <c r="AU41" i="20" s="1"/>
  <c r="BE41" i="20" s="1"/>
  <c r="T41" i="20"/>
  <c r="R45" i="20"/>
  <c r="N45" i="20"/>
  <c r="R53" i="20"/>
  <c r="AG53" i="20"/>
  <c r="AS53" i="20" s="1"/>
  <c r="BC53" i="20" s="1"/>
  <c r="X41" i="21"/>
  <c r="AL41" i="21"/>
  <c r="AI42" i="22"/>
  <c r="AU42" i="22" s="1"/>
  <c r="BE42" i="22" s="1"/>
  <c r="AI40" i="29"/>
  <c r="U40" i="29"/>
  <c r="R66" i="21"/>
  <c r="N66" i="21"/>
  <c r="R48" i="21"/>
  <c r="AF48" i="21"/>
  <c r="N48" i="21"/>
  <c r="I43" i="20"/>
  <c r="AG45" i="22"/>
  <c r="AS45" i="22" s="1"/>
  <c r="BC45" i="22" s="1"/>
  <c r="N45" i="22"/>
  <c r="R50" i="22"/>
  <c r="AG50" i="22"/>
  <c r="AS50" i="22" s="1"/>
  <c r="BC50" i="22" s="1"/>
  <c r="N70" i="22"/>
  <c r="AG70" i="22"/>
  <c r="AS70" i="22" s="1"/>
  <c r="BC70" i="22" s="1"/>
  <c r="N34" i="12"/>
  <c r="N34" i="20"/>
  <c r="N34" i="10"/>
  <c r="AS69" i="12"/>
  <c r="AG69" i="12"/>
  <c r="BN69" i="12" s="1"/>
  <c r="N43" i="20"/>
  <c r="O63" i="19"/>
  <c r="AB63" i="19" s="1"/>
  <c r="AL63" i="19"/>
  <c r="V41" i="20"/>
  <c r="AK41" i="20"/>
  <c r="AW41" i="20" s="1"/>
  <c r="BG41" i="20" s="1"/>
  <c r="U40" i="22"/>
  <c r="AJ40" i="22"/>
  <c r="AV40" i="22" s="1"/>
  <c r="BF40" i="22" s="1"/>
  <c r="AG49" i="22"/>
  <c r="AS49" i="22" s="1"/>
  <c r="BC49" i="22" s="1"/>
  <c r="R49" i="22"/>
  <c r="R52" i="29"/>
  <c r="AF52" i="29"/>
  <c r="R60" i="29"/>
  <c r="N60" i="29"/>
  <c r="AF60" i="29"/>
  <c r="N50" i="20"/>
  <c r="AG50" i="20"/>
  <c r="AS50" i="20" s="1"/>
  <c r="BC50" i="20" s="1"/>
  <c r="N48" i="22"/>
  <c r="AG48" i="22"/>
  <c r="AS48" i="22" s="1"/>
  <c r="BC48" i="22" s="1"/>
  <c r="AX42" i="23"/>
  <c r="BH42" i="23" s="1"/>
  <c r="AT42" i="23"/>
  <c r="BD42" i="23" s="1"/>
  <c r="Y40" i="24"/>
  <c r="AN40" i="24"/>
  <c r="BU40" i="24" s="1"/>
  <c r="AZ40" i="24" s="1"/>
  <c r="R44" i="24"/>
  <c r="N44" i="24"/>
  <c r="AG44" i="24"/>
  <c r="BN44" i="24" s="1"/>
  <c r="AS44" i="24"/>
  <c r="AG52" i="24"/>
  <c r="BN52" i="24" s="1"/>
  <c r="N52" i="24"/>
  <c r="R52" i="24"/>
  <c r="N58" i="24"/>
  <c r="AS58" i="24"/>
  <c r="AG58" i="24"/>
  <c r="BN58" i="24" s="1"/>
  <c r="R46" i="29"/>
  <c r="N46" i="29"/>
  <c r="AF49" i="29"/>
  <c r="R49" i="29"/>
  <c r="N49" i="29"/>
  <c r="AG70" i="12"/>
  <c r="N70" i="12"/>
  <c r="AL48" i="19"/>
  <c r="O48" i="19"/>
  <c r="AB48" i="19" s="1"/>
  <c r="AL51" i="19"/>
  <c r="O51" i="19"/>
  <c r="AB51" i="19" s="1"/>
  <c r="AM40" i="20"/>
  <c r="AY40" i="20" s="1"/>
  <c r="BI40" i="20" s="1"/>
  <c r="X40" i="20"/>
  <c r="AG49" i="20"/>
  <c r="AS49" i="20" s="1"/>
  <c r="BC49" i="20" s="1"/>
  <c r="N49" i="20"/>
  <c r="R49" i="20"/>
  <c r="AS72" i="12"/>
  <c r="AG72" i="12"/>
  <c r="N72" i="12"/>
  <c r="R72" i="12"/>
  <c r="AG40" i="21"/>
  <c r="S40" i="21"/>
  <c r="I43" i="22"/>
  <c r="S40" i="23"/>
  <c r="AH40" i="23"/>
  <c r="AT40" i="23" s="1"/>
  <c r="BD40" i="23" s="1"/>
  <c r="I43" i="23"/>
  <c r="R55" i="23"/>
  <c r="AG55" i="23"/>
  <c r="AS55" i="23" s="1"/>
  <c r="BC55" i="23" s="1"/>
  <c r="R56" i="23"/>
  <c r="N56" i="23"/>
  <c r="AG56" i="23"/>
  <c r="AS56" i="23" s="1"/>
  <c r="BC56" i="23" s="1"/>
  <c r="AG57" i="23"/>
  <c r="AS57" i="23" s="1"/>
  <c r="BC57" i="23" s="1"/>
  <c r="R57" i="23"/>
  <c r="R59" i="23"/>
  <c r="N59" i="23"/>
  <c r="O55" i="25"/>
  <c r="AB55" i="25" s="1"/>
  <c r="AL55" i="25"/>
  <c r="AH41" i="26"/>
  <c r="AT41" i="26" s="1"/>
  <c r="BD41" i="26" s="1"/>
  <c r="S41" i="26"/>
  <c r="AG54" i="26"/>
  <c r="AS54" i="26" s="1"/>
  <c r="BC54" i="26" s="1"/>
  <c r="R54" i="26"/>
  <c r="N54" i="26"/>
  <c r="N56" i="26"/>
  <c r="R56" i="26"/>
  <c r="AG56" i="26"/>
  <c r="AS56" i="26" s="1"/>
  <c r="BC56" i="26" s="1"/>
  <c r="AG57" i="26"/>
  <c r="AS57" i="26" s="1"/>
  <c r="BC57" i="26" s="1"/>
  <c r="R57" i="26"/>
  <c r="R59" i="26"/>
  <c r="N59" i="26"/>
  <c r="AG59" i="26"/>
  <c r="AS59" i="26" s="1"/>
  <c r="BC59" i="26" s="1"/>
  <c r="N52" i="29"/>
  <c r="R68" i="12"/>
  <c r="X40" i="21"/>
  <c r="AL40" i="21"/>
  <c r="AG66" i="22"/>
  <c r="AS66" i="22" s="1"/>
  <c r="BC66" i="22" s="1"/>
  <c r="N66" i="22"/>
  <c r="AG51" i="24"/>
  <c r="BN51" i="24" s="1"/>
  <c r="AS51" i="24"/>
  <c r="N51" i="24"/>
  <c r="O57" i="25"/>
  <c r="AB57" i="25" s="1"/>
  <c r="O69" i="25"/>
  <c r="AB69" i="25" s="1"/>
  <c r="AL69" i="25"/>
  <c r="T41" i="26"/>
  <c r="AI41" i="26"/>
  <c r="AU41" i="26" s="1"/>
  <c r="BE41" i="26" s="1"/>
  <c r="R53" i="26"/>
  <c r="AG53" i="26"/>
  <c r="AS53" i="26" s="1"/>
  <c r="BC53" i="26" s="1"/>
  <c r="AS68" i="12"/>
  <c r="N72" i="10"/>
  <c r="AG43" i="22"/>
  <c r="AS43" i="22" s="1"/>
  <c r="BC43" i="22" s="1"/>
  <c r="R43" i="22"/>
  <c r="AG62" i="26"/>
  <c r="AS62" i="26" s="1"/>
  <c r="BC62" i="26" s="1"/>
  <c r="R62" i="26"/>
  <c r="R71" i="21"/>
  <c r="AF71" i="21"/>
  <c r="AK40" i="23"/>
  <c r="AW40" i="23" s="1"/>
  <c r="BG40" i="23" s="1"/>
  <c r="V40" i="23"/>
  <c r="N43" i="29"/>
  <c r="AF43" i="29"/>
  <c r="R43" i="29"/>
  <c r="N55" i="29"/>
  <c r="AF55" i="29"/>
  <c r="R55" i="29"/>
  <c r="R47" i="21"/>
  <c r="AF47" i="21"/>
  <c r="AG56" i="22"/>
  <c r="AS56" i="22" s="1"/>
  <c r="BC56" i="22" s="1"/>
  <c r="N56" i="22"/>
  <c r="R59" i="22"/>
  <c r="N59" i="22"/>
  <c r="W40" i="23"/>
  <c r="AL40" i="23"/>
  <c r="AX40" i="23" s="1"/>
  <c r="BH40" i="23" s="1"/>
  <c r="O45" i="25"/>
  <c r="AB45" i="25" s="1"/>
  <c r="AL45" i="25"/>
  <c r="AL62" i="25"/>
  <c r="O62" i="25"/>
  <c r="AB62" i="25" s="1"/>
  <c r="AK41" i="26"/>
  <c r="AW41" i="26" s="1"/>
  <c r="BG41" i="26" s="1"/>
  <c r="V41" i="26"/>
  <c r="N72" i="26"/>
  <c r="R72" i="26"/>
  <c r="AG72" i="26"/>
  <c r="AS72" i="26" s="1"/>
  <c r="BC72" i="26" s="1"/>
  <c r="S40" i="29"/>
  <c r="AG40" i="29"/>
  <c r="AL40" i="29"/>
  <c r="X40" i="29"/>
  <c r="AF54" i="29"/>
  <c r="N54" i="29"/>
  <c r="AG73" i="20"/>
  <c r="AS73" i="20" s="1"/>
  <c r="BC73" i="20" s="1"/>
  <c r="R73" i="20"/>
  <c r="AF69" i="9"/>
  <c r="AJ40" i="20"/>
  <c r="AV40" i="20" s="1"/>
  <c r="BF40" i="20" s="1"/>
  <c r="AG57" i="22"/>
  <c r="AS57" i="22" s="1"/>
  <c r="BC57" i="22" s="1"/>
  <c r="AG71" i="10"/>
  <c r="AS71" i="10" s="1"/>
  <c r="BC71" i="10" s="1"/>
  <c r="R71" i="10"/>
  <c r="AN40" i="22"/>
  <c r="AZ40" i="22" s="1"/>
  <c r="BJ40" i="22" s="1"/>
  <c r="Y40" i="22"/>
  <c r="AL66" i="25"/>
  <c r="O66" i="25"/>
  <c r="AB66" i="25" s="1"/>
  <c r="N43" i="26"/>
  <c r="R43" i="26"/>
  <c r="AI42" i="26"/>
  <c r="AU42" i="26" s="1"/>
  <c r="BE42" i="26" s="1"/>
  <c r="AF45" i="29"/>
  <c r="N45" i="29"/>
  <c r="R48" i="29"/>
  <c r="N48" i="29"/>
  <c r="N69" i="9"/>
  <c r="AF43" i="21"/>
  <c r="R43" i="21"/>
  <c r="W41" i="26"/>
  <c r="AL41" i="26"/>
  <c r="AX41" i="26" s="1"/>
  <c r="BH41" i="26" s="1"/>
  <c r="I43" i="26"/>
  <c r="R65" i="29"/>
  <c r="AF59" i="29"/>
  <c r="R68" i="26"/>
  <c r="AF71" i="29"/>
  <c r="AF65" i="29"/>
  <c r="R59" i="29"/>
  <c r="N44" i="29"/>
  <c r="N69" i="12"/>
  <c r="R70" i="9"/>
  <c r="AG70" i="10"/>
  <c r="AS70" i="10" s="1"/>
  <c r="BC70" i="10" s="1"/>
  <c r="R70" i="10"/>
  <c r="N70" i="10"/>
  <c r="R71" i="9"/>
  <c r="AF71" i="9"/>
  <c r="N71" i="9"/>
  <c r="AI41" i="21"/>
  <c r="U41" i="21"/>
  <c r="AJ41" i="22"/>
  <c r="AV41" i="22" s="1"/>
  <c r="BF41" i="22" s="1"/>
  <c r="U41" i="22"/>
  <c r="O72" i="19"/>
  <c r="AB72" i="19" s="1"/>
  <c r="AL72" i="19"/>
  <c r="AG41" i="21"/>
  <c r="S41" i="21"/>
  <c r="S41" i="22"/>
  <c r="AH41" i="22"/>
  <c r="AT41" i="22" s="1"/>
  <c r="BD41" i="22" s="1"/>
  <c r="AG71" i="20"/>
  <c r="AS71" i="20" s="1"/>
  <c r="BC71" i="20" s="1"/>
  <c r="N71" i="20"/>
  <c r="R71" i="20"/>
  <c r="Y41" i="21"/>
  <c r="AM41" i="21"/>
  <c r="AS70" i="12"/>
  <c r="AL71" i="4"/>
  <c r="A31" i="14"/>
  <c r="O71" i="4"/>
  <c r="AB71" i="4" s="1"/>
  <c r="AG71" i="12"/>
  <c r="N71" i="12"/>
  <c r="R71" i="12"/>
  <c r="AS71" i="12"/>
  <c r="AK41" i="21"/>
  <c r="W41" i="21"/>
  <c r="W41" i="22"/>
  <c r="AL41" i="22"/>
  <c r="AX41" i="22" s="1"/>
  <c r="BH41" i="22" s="1"/>
  <c r="AL58" i="25"/>
  <c r="O58" i="25"/>
  <c r="AB58" i="25" s="1"/>
  <c r="O64" i="25"/>
  <c r="AB64" i="25" s="1"/>
  <c r="AL64" i="25"/>
  <c r="N44" i="26"/>
  <c r="R44" i="26"/>
  <c r="AG44" i="26"/>
  <c r="AS44" i="26" s="1"/>
  <c r="BC44" i="26" s="1"/>
  <c r="R48" i="26"/>
  <c r="N48" i="26"/>
  <c r="AG48" i="26"/>
  <c r="AS48" i="26" s="1"/>
  <c r="BC48" i="26" s="1"/>
  <c r="R58" i="26"/>
  <c r="N58" i="26"/>
  <c r="AG58" i="26"/>
  <c r="AS58" i="26" s="1"/>
  <c r="BC58" i="26" s="1"/>
  <c r="N66" i="26"/>
  <c r="AG66" i="26"/>
  <c r="AS66" i="26" s="1"/>
  <c r="BC66" i="26" s="1"/>
  <c r="R66" i="26"/>
  <c r="N47" i="26"/>
  <c r="AG47" i="26"/>
  <c r="AS47" i="26" s="1"/>
  <c r="BC47" i="26" s="1"/>
  <c r="R47" i="26"/>
  <c r="AL52" i="25"/>
  <c r="O52" i="25"/>
  <c r="AB52" i="25" s="1"/>
  <c r="AL65" i="25"/>
  <c r="O65" i="25"/>
  <c r="AB65" i="25" s="1"/>
  <c r="AL70" i="25"/>
  <c r="O70" i="25"/>
  <c r="AB70" i="25" s="1"/>
  <c r="AK40" i="26"/>
  <c r="AW40" i="26" s="1"/>
  <c r="BG40" i="26" s="1"/>
  <c r="V40" i="26"/>
  <c r="R46" i="26"/>
  <c r="AG46" i="26"/>
  <c r="AS46" i="26" s="1"/>
  <c r="BC46" i="26" s="1"/>
  <c r="N46" i="26"/>
  <c r="O72" i="4"/>
  <c r="AB72" i="4" s="1"/>
  <c r="S40" i="22"/>
  <c r="O44" i="25"/>
  <c r="AB44" i="25" s="1"/>
  <c r="AL44" i="25"/>
  <c r="AL72" i="25"/>
  <c r="O72" i="25"/>
  <c r="AB72" i="25" s="1"/>
  <c r="AG45" i="26"/>
  <c r="AS45" i="26" s="1"/>
  <c r="BC45" i="26" s="1"/>
  <c r="R45" i="26"/>
  <c r="N45" i="26"/>
  <c r="N49" i="26"/>
  <c r="AG49" i="26"/>
  <c r="AS49" i="26" s="1"/>
  <c r="BC49" i="26" s="1"/>
  <c r="R49" i="26"/>
  <c r="R55" i="26"/>
  <c r="AG55" i="26"/>
  <c r="AS55" i="26" s="1"/>
  <c r="BC55" i="26" s="1"/>
  <c r="N55" i="26"/>
  <c r="AG63" i="26"/>
  <c r="AS63" i="26" s="1"/>
  <c r="BC63" i="26" s="1"/>
  <c r="R63" i="26"/>
  <c r="N63" i="26"/>
  <c r="AG71" i="26"/>
  <c r="AS71" i="26" s="1"/>
  <c r="BC71" i="26" s="1"/>
  <c r="R71" i="26"/>
  <c r="N71" i="26"/>
  <c r="AL68" i="25"/>
  <c r="I43" i="28"/>
  <c r="B44" i="28"/>
  <c r="AL71" i="25"/>
  <c r="N53" i="26"/>
  <c r="N64" i="26"/>
  <c r="R51" i="26"/>
  <c r="N73" i="26"/>
  <c r="R73" i="26"/>
  <c r="AG73" i="26"/>
  <c r="AS73" i="26" s="1"/>
  <c r="BC73" i="26" s="1"/>
  <c r="N73" i="29"/>
  <c r="AF73" i="29"/>
  <c r="N73" i="9"/>
  <c r="AF73" i="9"/>
  <c r="R73" i="9"/>
  <c r="N73" i="21"/>
  <c r="R73" i="21"/>
  <c r="O73" i="4"/>
  <c r="AB73" i="4" s="1"/>
  <c r="AL73" i="4"/>
  <c r="AL73" i="25"/>
  <c r="O73" i="25"/>
  <c r="AB73" i="25" s="1"/>
  <c r="AF73" i="21"/>
  <c r="N73" i="10"/>
  <c r="N73" i="12"/>
  <c r="R73" i="12"/>
  <c r="AS73" i="12"/>
  <c r="I43" i="21"/>
  <c r="W41" i="29"/>
  <c r="R73" i="29"/>
  <c r="AG73" i="22"/>
  <c r="AS73" i="22" s="1"/>
  <c r="BC73" i="22" s="1"/>
  <c r="R73" i="22"/>
  <c r="N73" i="23"/>
  <c r="AS72" i="24"/>
  <c r="AG72" i="24"/>
  <c r="R72" i="24"/>
  <c r="AG73" i="10"/>
  <c r="AS73" i="10" s="1"/>
  <c r="BC73" i="10" s="1"/>
  <c r="N73" i="20"/>
  <c r="Y43" i="12" l="1"/>
  <c r="AZ43" i="12" s="1"/>
  <c r="H44" i="12" s="1"/>
  <c r="J43" i="12"/>
  <c r="K43" i="12" s="1"/>
  <c r="L43" i="12" s="1"/>
  <c r="O45" i="12"/>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6" i="12" s="1"/>
  <c r="O67" i="12" s="1"/>
  <c r="O68" i="12" s="1"/>
  <c r="O69" i="12" s="1"/>
  <c r="O70" i="12" s="1"/>
  <c r="O71" i="12" s="1"/>
  <c r="O72" i="12" s="1"/>
  <c r="AT43" i="4"/>
  <c r="I43" i="4"/>
  <c r="J43" i="4" s="1"/>
  <c r="K43" i="4" s="1"/>
  <c r="L43" i="4" s="1"/>
  <c r="AM43" i="25"/>
  <c r="B44" i="25" s="1"/>
  <c r="Q42" i="4"/>
  <c r="AD42" i="4" s="1"/>
  <c r="AN42" i="4" s="1"/>
  <c r="T42" i="4"/>
  <c r="AG42" i="4" s="1"/>
  <c r="AQ42" i="4" s="1"/>
  <c r="V42" i="4"/>
  <c r="AI42" i="4" s="1"/>
  <c r="AS42" i="4" s="1"/>
  <c r="I43" i="19"/>
  <c r="J43" i="19" s="1"/>
  <c r="K43" i="19" s="1"/>
  <c r="L43" i="19" s="1"/>
  <c r="W42" i="4"/>
  <c r="AJ42" i="4" s="1"/>
  <c r="AT42" i="4" s="1"/>
  <c r="T43" i="12"/>
  <c r="AU43" i="12" s="1"/>
  <c r="C44" i="12" s="1"/>
  <c r="T44" i="12" s="1"/>
  <c r="AU44" i="12" s="1"/>
  <c r="C45" i="12" s="1"/>
  <c r="S43" i="12"/>
  <c r="W43" i="12"/>
  <c r="AX43" i="12" s="1"/>
  <c r="F44" i="12" s="1"/>
  <c r="W44" i="12" s="1"/>
  <c r="AX44" i="12" s="1"/>
  <c r="F45" i="12" s="1"/>
  <c r="AI42" i="7"/>
  <c r="AJ42" i="7" s="1"/>
  <c r="J43" i="1"/>
  <c r="K43" i="1" s="1"/>
  <c r="L43" i="1" s="1"/>
  <c r="P43" i="1"/>
  <c r="V43" i="1"/>
  <c r="Q43" i="1"/>
  <c r="T43" i="1"/>
  <c r="I44" i="1"/>
  <c r="C45" i="1"/>
  <c r="P43" i="25"/>
  <c r="O43" i="9"/>
  <c r="J43" i="9"/>
  <c r="K43" i="9" s="1"/>
  <c r="L43" i="9" s="1"/>
  <c r="BD78" i="22"/>
  <c r="AD43" i="25"/>
  <c r="T43" i="25"/>
  <c r="AS43" i="25"/>
  <c r="H44" i="25" s="1"/>
  <c r="J43" i="25"/>
  <c r="K43" i="25" s="1"/>
  <c r="L43" i="25" s="1"/>
  <c r="AJ43" i="25"/>
  <c r="Q43" i="25"/>
  <c r="V43" i="25"/>
  <c r="AQ43" i="25"/>
  <c r="F44" i="25" s="1"/>
  <c r="AN43" i="25"/>
  <c r="AG43" i="25"/>
  <c r="AI43" i="25"/>
  <c r="Y44" i="12"/>
  <c r="AZ44" i="12" s="1"/>
  <c r="H45" i="12" s="1"/>
  <c r="J43" i="26"/>
  <c r="K43" i="26" s="1"/>
  <c r="L43" i="26" s="1"/>
  <c r="O43" i="26"/>
  <c r="E54" i="28"/>
  <c r="E55" i="28" s="1"/>
  <c r="E56" i="28" s="1"/>
  <c r="E57" i="28" s="1"/>
  <c r="E58" i="28" s="1"/>
  <c r="E59" i="28" s="1"/>
  <c r="E60" i="28" s="1"/>
  <c r="E61" i="28" s="1"/>
  <c r="E62" i="28" s="1"/>
  <c r="E63" i="28" s="1"/>
  <c r="E64" i="28" s="1"/>
  <c r="E65" i="28" s="1"/>
  <c r="E66" i="28" s="1"/>
  <c r="E67" i="28" s="1"/>
  <c r="E68" i="28" s="1"/>
  <c r="E69" i="28" s="1"/>
  <c r="E70" i="28" s="1"/>
  <c r="E71" i="28" s="1"/>
  <c r="E72" i="28" s="1"/>
  <c r="E73" i="28" s="1"/>
  <c r="D54" i="28"/>
  <c r="D55" i="28" s="1"/>
  <c r="D56" i="28" s="1"/>
  <c r="D57" i="28" s="1"/>
  <c r="D58" i="28" s="1"/>
  <c r="D59" i="28" s="1"/>
  <c r="D60" i="28" s="1"/>
  <c r="D61" i="28" s="1"/>
  <c r="J42" i="24"/>
  <c r="K42" i="24" s="1"/>
  <c r="L42" i="24" s="1"/>
  <c r="O42" i="24"/>
  <c r="AT43" i="12"/>
  <c r="B44" i="12" s="1"/>
  <c r="S44" i="12" s="1"/>
  <c r="AT44" i="12" s="1"/>
  <c r="B45" i="12" s="1"/>
  <c r="J43" i="23"/>
  <c r="K43" i="23" s="1"/>
  <c r="L43" i="23" s="1"/>
  <c r="O43" i="23"/>
  <c r="B50" i="1"/>
  <c r="AC43" i="7"/>
  <c r="I43" i="7"/>
  <c r="Q43" i="7" s="1"/>
  <c r="O43" i="10"/>
  <c r="J43" i="10"/>
  <c r="K43" i="10" s="1"/>
  <c r="L43" i="10" s="1"/>
  <c r="V42" i="7"/>
  <c r="D2" i="14"/>
  <c r="P42" i="7"/>
  <c r="T42" i="7"/>
  <c r="W42" i="7"/>
  <c r="J43" i="20"/>
  <c r="K43" i="20" s="1"/>
  <c r="L43" i="20" s="1"/>
  <c r="O43" i="20"/>
  <c r="F48" i="1"/>
  <c r="T42" i="19"/>
  <c r="AG42" i="19" s="1"/>
  <c r="AQ42" i="19" s="1"/>
  <c r="V42" i="19"/>
  <c r="AI42" i="19" s="1"/>
  <c r="AS42" i="19" s="1"/>
  <c r="W42" i="19"/>
  <c r="AJ42" i="19" s="1"/>
  <c r="AT42" i="19" s="1"/>
  <c r="P42" i="19"/>
  <c r="AC42" i="19" s="1"/>
  <c r="AM42" i="19" s="1"/>
  <c r="AD43" i="19"/>
  <c r="O43" i="22"/>
  <c r="J43" i="22"/>
  <c r="K43" i="22" s="1"/>
  <c r="L43" i="22" s="1"/>
  <c r="S43" i="29"/>
  <c r="O44" i="29"/>
  <c r="O45" i="29" s="1"/>
  <c r="O46" i="29" s="1"/>
  <c r="O47" i="29" s="1"/>
  <c r="O48" i="29" s="1"/>
  <c r="H50" i="1"/>
  <c r="G54" i="28"/>
  <c r="AN46" i="4"/>
  <c r="C47" i="4" s="1"/>
  <c r="AM44" i="4"/>
  <c r="B45" i="4" s="1"/>
  <c r="I44" i="4"/>
  <c r="AC44" i="4" s="1"/>
  <c r="H57" i="28"/>
  <c r="AH45" i="7"/>
  <c r="H46" i="7" s="1"/>
  <c r="B48" i="7"/>
  <c r="T43" i="28"/>
  <c r="Q43" i="28"/>
  <c r="P43" i="28"/>
  <c r="J43" i="28"/>
  <c r="K43" i="28" s="1"/>
  <c r="L43" i="28" s="1"/>
  <c r="V43" i="28"/>
  <c r="AC43" i="4"/>
  <c r="AS45" i="4"/>
  <c r="H46" i="4" s="1"/>
  <c r="AQ45" i="4"/>
  <c r="F46" i="4" s="1"/>
  <c r="B45" i="28"/>
  <c r="I44" i="28"/>
  <c r="P44" i="28" s="1"/>
  <c r="O43" i="21"/>
  <c r="J43" i="21"/>
  <c r="K43" i="21" s="1"/>
  <c r="L43" i="21" s="1"/>
  <c r="AF44" i="7"/>
  <c r="F45" i="7" s="1"/>
  <c r="E74" i="28" l="1"/>
  <c r="T43" i="4"/>
  <c r="AJ43" i="4"/>
  <c r="Q43" i="4"/>
  <c r="V43" i="4"/>
  <c r="P43" i="4"/>
  <c r="X43" i="4" s="1"/>
  <c r="AU43" i="4"/>
  <c r="W45" i="12"/>
  <c r="AX45" i="12" s="1"/>
  <c r="F46" i="12" s="1"/>
  <c r="W46" i="12" s="1"/>
  <c r="AJ43" i="19"/>
  <c r="Z43" i="12"/>
  <c r="BO43" i="12" s="1"/>
  <c r="S45" i="12"/>
  <c r="AT45" i="12" s="1"/>
  <c r="B46" i="12" s="1"/>
  <c r="T45" i="12"/>
  <c r="AU45" i="12" s="1"/>
  <c r="C46" i="12" s="1"/>
  <c r="T46" i="12" s="1"/>
  <c r="AU46" i="12" s="1"/>
  <c r="C47" i="12" s="1"/>
  <c r="T47" i="12" s="1"/>
  <c r="AU47" i="12" s="1"/>
  <c r="C48" i="12" s="1"/>
  <c r="T48" i="12" s="1"/>
  <c r="AS43" i="19"/>
  <c r="H44" i="19" s="1"/>
  <c r="Y45" i="12"/>
  <c r="AZ45" i="12" s="1"/>
  <c r="H46" i="12" s="1"/>
  <c r="Y46" i="12" s="1"/>
  <c r="AZ46" i="12" s="1"/>
  <c r="H47" i="12" s="1"/>
  <c r="Y47" i="12" s="1"/>
  <c r="O73" i="12"/>
  <c r="O74" i="12" s="1"/>
  <c r="O75" i="12" s="1"/>
  <c r="AN43" i="19"/>
  <c r="C44" i="19" s="1"/>
  <c r="V43" i="19"/>
  <c r="P43" i="19"/>
  <c r="AQ43" i="19"/>
  <c r="F44" i="19" s="1"/>
  <c r="AG43" i="19"/>
  <c r="AC43" i="19"/>
  <c r="Q43" i="19"/>
  <c r="AI43" i="19"/>
  <c r="AM43" i="19"/>
  <c r="B44" i="19" s="1"/>
  <c r="T43" i="19"/>
  <c r="B3" i="14"/>
  <c r="I44" i="12"/>
  <c r="J44" i="12" s="1"/>
  <c r="K44" i="12" s="1"/>
  <c r="L44" i="12" s="1"/>
  <c r="W43" i="1"/>
  <c r="X43" i="1"/>
  <c r="I45" i="1"/>
  <c r="C46" i="1"/>
  <c r="X43" i="25"/>
  <c r="J44" i="1"/>
  <c r="K44" i="1" s="1"/>
  <c r="L44" i="1" s="1"/>
  <c r="C4" i="14"/>
  <c r="P44" i="1"/>
  <c r="V44" i="1"/>
  <c r="T44" i="1"/>
  <c r="Q44" i="1"/>
  <c r="W43" i="25"/>
  <c r="T43" i="9"/>
  <c r="O44" i="9"/>
  <c r="O45" i="9" s="1"/>
  <c r="O46" i="9" s="1"/>
  <c r="O47" i="9" s="1"/>
  <c r="O48" i="9" s="1"/>
  <c r="O49" i="9" s="1"/>
  <c r="O50" i="9" s="1"/>
  <c r="O51" i="9" s="1"/>
  <c r="O52" i="9" s="1"/>
  <c r="O53" i="9" s="1"/>
  <c r="O54" i="9" s="1"/>
  <c r="O55" i="9" s="1"/>
  <c r="O56" i="9" s="1"/>
  <c r="O57" i="9" s="1"/>
  <c r="O58" i="9" s="1"/>
  <c r="O59" i="9" s="1"/>
  <c r="O60" i="9" s="1"/>
  <c r="O61" i="9" s="1"/>
  <c r="O62" i="9" s="1"/>
  <c r="O63" i="9" s="1"/>
  <c r="O64" i="9" s="1"/>
  <c r="O65" i="9" s="1"/>
  <c r="O66" i="9" s="1"/>
  <c r="O67" i="9" s="1"/>
  <c r="O68" i="9" s="1"/>
  <c r="O69" i="9" s="1"/>
  <c r="O70" i="9" s="1"/>
  <c r="O71" i="9" s="1"/>
  <c r="O72" i="9" s="1"/>
  <c r="O73" i="9" s="1"/>
  <c r="Y43" i="9"/>
  <c r="W43" i="9"/>
  <c r="S43" i="9"/>
  <c r="C44" i="25"/>
  <c r="AT43" i="25"/>
  <c r="AU43" i="25" s="1"/>
  <c r="Z44" i="12"/>
  <c r="BS44" i="12" s="1"/>
  <c r="O44" i="10"/>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O65" i="10" s="1"/>
  <c r="O66" i="10" s="1"/>
  <c r="O67" i="10" s="1"/>
  <c r="O68" i="10" s="1"/>
  <c r="O69" i="10" s="1"/>
  <c r="O70" i="10" s="1"/>
  <c r="O71" i="10" s="1"/>
  <c r="O72" i="10" s="1"/>
  <c r="O73" i="10" s="1"/>
  <c r="T43" i="10"/>
  <c r="BE43" i="10" s="1"/>
  <c r="C44" i="10" s="1"/>
  <c r="Y43" i="10"/>
  <c r="BJ43" i="10" s="1"/>
  <c r="H44" i="10" s="1"/>
  <c r="S43" i="10"/>
  <c r="W43" i="10"/>
  <c r="O44" i="26"/>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O66" i="26" s="1"/>
  <c r="O67" i="26" s="1"/>
  <c r="O68" i="26" s="1"/>
  <c r="O69" i="26" s="1"/>
  <c r="O70" i="26" s="1"/>
  <c r="O71" i="26" s="1"/>
  <c r="O72" i="26" s="1"/>
  <c r="O73" i="26" s="1"/>
  <c r="O76" i="26" s="1"/>
  <c r="Y43" i="26"/>
  <c r="S43" i="26"/>
  <c r="O44" i="22"/>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O66" i="22" s="1"/>
  <c r="O67" i="22" s="1"/>
  <c r="O68" i="22" s="1"/>
  <c r="O69" i="22" s="1"/>
  <c r="O70" i="22" s="1"/>
  <c r="O71" i="22" s="1"/>
  <c r="O72" i="22" s="1"/>
  <c r="T43" i="22"/>
  <c r="W43" i="22"/>
  <c r="Y43" i="22"/>
  <c r="S43" i="22"/>
  <c r="P43" i="7"/>
  <c r="J43" i="7"/>
  <c r="K43" i="7" s="1"/>
  <c r="L43" i="7" s="1"/>
  <c r="D3" i="14"/>
  <c r="T43" i="7"/>
  <c r="V43" i="7"/>
  <c r="W43" i="23"/>
  <c r="S43" i="23"/>
  <c r="O44" i="23"/>
  <c r="Y43" i="23"/>
  <c r="T43" i="23"/>
  <c r="F49" i="1"/>
  <c r="C44" i="7"/>
  <c r="AI43" i="7"/>
  <c r="AJ43" i="7" s="1"/>
  <c r="H51" i="1"/>
  <c r="Y42" i="24"/>
  <c r="W42" i="24"/>
  <c r="O43" i="24"/>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O66" i="24" s="1"/>
  <c r="O67" i="24" s="1"/>
  <c r="O68" i="24" s="1"/>
  <c r="O69" i="24" s="1"/>
  <c r="O70" i="24" s="1"/>
  <c r="O71" i="24" s="1"/>
  <c r="O72" i="24" s="1"/>
  <c r="T42" i="24"/>
  <c r="S42" i="24"/>
  <c r="B44" i="29"/>
  <c r="Z43" i="29"/>
  <c r="B51" i="1"/>
  <c r="O44" i="20"/>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O66" i="20" s="1"/>
  <c r="O67" i="20" s="1"/>
  <c r="O68" i="20" s="1"/>
  <c r="O69" i="20" s="1"/>
  <c r="O70" i="20" s="1"/>
  <c r="O71" i="20" s="1"/>
  <c r="O72" i="20" s="1"/>
  <c r="O73" i="20" s="1"/>
  <c r="O74" i="20" s="1"/>
  <c r="O75" i="20" s="1"/>
  <c r="W43" i="20"/>
  <c r="T43" i="20"/>
  <c r="S43" i="20"/>
  <c r="Y43" i="20"/>
  <c r="AQ46" i="4"/>
  <c r="F47" i="4" s="1"/>
  <c r="I45" i="12"/>
  <c r="AJ44" i="4"/>
  <c r="AT44" i="4"/>
  <c r="AU44" i="4" s="1"/>
  <c r="Q44" i="4"/>
  <c r="J44" i="4"/>
  <c r="K44" i="4" s="1"/>
  <c r="L44" i="4" s="1"/>
  <c r="B4" i="14"/>
  <c r="T44" i="4"/>
  <c r="V44" i="4"/>
  <c r="G55" i="28"/>
  <c r="D62" i="28"/>
  <c r="AH46" i="7"/>
  <c r="H47" i="7" s="1"/>
  <c r="O44" i="2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O66" i="21" s="1"/>
  <c r="O67" i="21" s="1"/>
  <c r="O68" i="21" s="1"/>
  <c r="O69" i="21" s="1"/>
  <c r="O70" i="21" s="1"/>
  <c r="O71" i="21" s="1"/>
  <c r="O72" i="21" s="1"/>
  <c r="Y43" i="21"/>
  <c r="W43" i="21"/>
  <c r="T43" i="21"/>
  <c r="S43" i="21"/>
  <c r="X43" i="28"/>
  <c r="W43" i="28"/>
  <c r="AM45" i="4"/>
  <c r="B46" i="4" s="1"/>
  <c r="I45" i="4"/>
  <c r="AC45" i="4" s="1"/>
  <c r="I45" i="28"/>
  <c r="P45" i="28" s="1"/>
  <c r="B46" i="28"/>
  <c r="AF45" i="7"/>
  <c r="F46" i="7" s="1"/>
  <c r="J44" i="28"/>
  <c r="K44" i="28" s="1"/>
  <c r="L44" i="28" s="1"/>
  <c r="V44" i="28"/>
  <c r="T44" i="28"/>
  <c r="Q44" i="28"/>
  <c r="AS46" i="4"/>
  <c r="H47" i="4" s="1"/>
  <c r="O49" i="29"/>
  <c r="O50" i="29" s="1"/>
  <c r="O51" i="29" s="1"/>
  <c r="O52" i="29" s="1"/>
  <c r="O53" i="29" s="1"/>
  <c r="O54" i="29" s="1"/>
  <c r="O55" i="29" s="1"/>
  <c r="O56" i="29" s="1"/>
  <c r="O57" i="29" s="1"/>
  <c r="O58" i="29" s="1"/>
  <c r="O59" i="29" s="1"/>
  <c r="O60" i="29" s="1"/>
  <c r="O61" i="29" s="1"/>
  <c r="O62" i="29" s="1"/>
  <c r="O63" i="29" s="1"/>
  <c r="O64" i="29" s="1"/>
  <c r="O65" i="29" s="1"/>
  <c r="O66" i="29" s="1"/>
  <c r="O67" i="29" s="1"/>
  <c r="O68" i="29" s="1"/>
  <c r="O69" i="29" s="1"/>
  <c r="O70" i="29" s="1"/>
  <c r="O71" i="29" s="1"/>
  <c r="O72" i="29" s="1"/>
  <c r="O73" i="29" s="1"/>
  <c r="O76" i="29" s="1"/>
  <c r="AB48" i="7"/>
  <c r="H58" i="28"/>
  <c r="P44" i="4"/>
  <c r="O74" i="10" l="1"/>
  <c r="O75" i="10" s="1"/>
  <c r="O76" i="10" s="1"/>
  <c r="O74" i="9"/>
  <c r="O75" i="9" s="1"/>
  <c r="O76" i="9" s="1"/>
  <c r="O73" i="24"/>
  <c r="O74" i="24" s="1"/>
  <c r="O75" i="24" s="1"/>
  <c r="AN43" i="12"/>
  <c r="BS43" i="12"/>
  <c r="BU43" i="12"/>
  <c r="AD43" i="12"/>
  <c r="AI43" i="12"/>
  <c r="BA43" i="12"/>
  <c r="W43" i="4"/>
  <c r="E75" i="28"/>
  <c r="AT43" i="19"/>
  <c r="AU43" i="19" s="1"/>
  <c r="J45" i="12"/>
  <c r="K45" i="12" s="1"/>
  <c r="L45" i="12" s="1"/>
  <c r="Z45" i="12"/>
  <c r="AL45" i="12" s="1"/>
  <c r="AL43" i="12"/>
  <c r="AA43" i="12"/>
  <c r="AB43" i="12" s="1"/>
  <c r="AC43" i="12" s="1"/>
  <c r="BP43" i="12"/>
  <c r="AH43" i="12"/>
  <c r="BV43" i="12"/>
  <c r="BB43" i="12"/>
  <c r="O76" i="20"/>
  <c r="O77" i="20"/>
  <c r="I82" i="20" s="1"/>
  <c r="I85" i="20" s="1"/>
  <c r="O77" i="12"/>
  <c r="I82" i="12" s="1"/>
  <c r="O76" i="12"/>
  <c r="O77" i="10"/>
  <c r="I82" i="10" s="1"/>
  <c r="I85" i="10" s="1"/>
  <c r="O77" i="29"/>
  <c r="I82" i="29" s="1"/>
  <c r="M33" i="8" s="1"/>
  <c r="U33" i="8" s="1"/>
  <c r="W43" i="19"/>
  <c r="BB44" i="12"/>
  <c r="AH44" i="12"/>
  <c r="O77" i="26"/>
  <c r="I82" i="26" s="1"/>
  <c r="I85" i="26" s="1"/>
  <c r="AD44" i="12"/>
  <c r="Y43" i="25"/>
  <c r="I44" i="19"/>
  <c r="P44" i="19" s="1"/>
  <c r="X43" i="19"/>
  <c r="Y43" i="1"/>
  <c r="AN44" i="12"/>
  <c r="AA44" i="12"/>
  <c r="AB44" i="12" s="1"/>
  <c r="AC44" i="12" s="1"/>
  <c r="BP44" i="12"/>
  <c r="AL44" i="12"/>
  <c r="BV44" i="12"/>
  <c r="AI44" i="12"/>
  <c r="BU44" i="12"/>
  <c r="BO44" i="12"/>
  <c r="BA44" i="12"/>
  <c r="W44" i="1"/>
  <c r="X44" i="1"/>
  <c r="Y44" i="10"/>
  <c r="BJ44" i="10" s="1"/>
  <c r="H45" i="10" s="1"/>
  <c r="Y45" i="10" s="1"/>
  <c r="BJ45" i="10" s="1"/>
  <c r="H46" i="10" s="1"/>
  <c r="Y46" i="10" s="1"/>
  <c r="BJ46" i="10" s="1"/>
  <c r="H47" i="10" s="1"/>
  <c r="Y47" i="10" s="1"/>
  <c r="C47" i="1"/>
  <c r="I46" i="1"/>
  <c r="T44" i="10"/>
  <c r="BE44" i="10" s="1"/>
  <c r="C45" i="10" s="1"/>
  <c r="T45" i="10" s="1"/>
  <c r="BE45" i="10" s="1"/>
  <c r="C46" i="10" s="1"/>
  <c r="T46" i="10" s="1"/>
  <c r="BE46" i="10" s="1"/>
  <c r="C47" i="10" s="1"/>
  <c r="T47" i="10" s="1"/>
  <c r="Q45" i="1"/>
  <c r="T45" i="1"/>
  <c r="V45" i="1"/>
  <c r="J45" i="1"/>
  <c r="K45" i="1" s="1"/>
  <c r="L45" i="1" s="1"/>
  <c r="C5" i="14"/>
  <c r="P45" i="1"/>
  <c r="BS45" i="12"/>
  <c r="B44" i="9"/>
  <c r="Z43" i="9"/>
  <c r="AM43" i="9" s="1"/>
  <c r="F44" i="9"/>
  <c r="W44" i="9" s="1"/>
  <c r="H44" i="9"/>
  <c r="Y44" i="9" s="1"/>
  <c r="C44" i="9"/>
  <c r="T44" i="9" s="1"/>
  <c r="I44" i="25"/>
  <c r="AD44" i="25" s="1"/>
  <c r="AK43" i="29"/>
  <c r="AM43" i="29"/>
  <c r="AD43" i="29"/>
  <c r="AA43" i="29"/>
  <c r="AH43" i="29"/>
  <c r="AZ42" i="24"/>
  <c r="H43" i="24" s="1"/>
  <c r="Y43" i="24" s="1"/>
  <c r="BJ43" i="22"/>
  <c r="H44" i="22" s="1"/>
  <c r="Y44" i="22" s="1"/>
  <c r="S44" i="29"/>
  <c r="I44" i="29"/>
  <c r="J44" i="29" s="1"/>
  <c r="K44" i="29" s="1"/>
  <c r="L44" i="29" s="1"/>
  <c r="BH43" i="22"/>
  <c r="F44" i="22" s="1"/>
  <c r="W44" i="22" s="1"/>
  <c r="BD43" i="10"/>
  <c r="B44" i="10" s="1"/>
  <c r="Z43" i="10"/>
  <c r="AL43" i="10" s="1"/>
  <c r="AG43" i="29"/>
  <c r="F50" i="1"/>
  <c r="X43" i="7"/>
  <c r="W43" i="7"/>
  <c r="BE43" i="22"/>
  <c r="C44" i="22" s="1"/>
  <c r="T44" i="22" s="1"/>
  <c r="B52" i="1"/>
  <c r="AT42" i="24"/>
  <c r="B43" i="24" s="1"/>
  <c r="Z42" i="24"/>
  <c r="AN42" i="24" s="1"/>
  <c r="O45" i="23"/>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O66" i="23" s="1"/>
  <c r="O67" i="23" s="1"/>
  <c r="O68" i="23" s="1"/>
  <c r="O69" i="23" s="1"/>
  <c r="O70" i="23" s="1"/>
  <c r="O71" i="23" s="1"/>
  <c r="O72" i="23" s="1"/>
  <c r="O73" i="23" s="1"/>
  <c r="O74" i="23" s="1"/>
  <c r="O75" i="23" s="1"/>
  <c r="O73" i="22"/>
  <c r="O74" i="22" s="1"/>
  <c r="O75" i="22" s="1"/>
  <c r="H52" i="1"/>
  <c r="Z43" i="23"/>
  <c r="AL43" i="23" s="1"/>
  <c r="Z43" i="26"/>
  <c r="AH43" i="26" s="1"/>
  <c r="W44" i="28"/>
  <c r="AU42" i="24"/>
  <c r="C43" i="24" s="1"/>
  <c r="T43" i="24" s="1"/>
  <c r="Z43" i="20"/>
  <c r="AH43" i="20" s="1"/>
  <c r="AX42" i="24"/>
  <c r="F43" i="24" s="1"/>
  <c r="W43" i="24" s="1"/>
  <c r="AC44" i="7"/>
  <c r="I44" i="7"/>
  <c r="BD43" i="22"/>
  <c r="B44" i="22" s="1"/>
  <c r="Z43" i="22"/>
  <c r="AT43" i="22" s="1"/>
  <c r="BH43" i="10"/>
  <c r="F44" i="10" s="1"/>
  <c r="W44" i="10" s="1"/>
  <c r="BH44" i="10" s="1"/>
  <c r="F45" i="10" s="1"/>
  <c r="AZ47" i="12"/>
  <c r="H48" i="12" s="1"/>
  <c r="Y48" i="12" s="1"/>
  <c r="AU48" i="12"/>
  <c r="C49" i="12" s="1"/>
  <c r="T49" i="12" s="1"/>
  <c r="I46" i="28"/>
  <c r="B47" i="28"/>
  <c r="X44" i="28"/>
  <c r="J45" i="4"/>
  <c r="K45" i="4" s="1"/>
  <c r="L45" i="4" s="1"/>
  <c r="B5" i="14"/>
  <c r="AJ45" i="4"/>
  <c r="AT45" i="4"/>
  <c r="AU45" i="4" s="1"/>
  <c r="Q45" i="4"/>
  <c r="T45" i="4"/>
  <c r="V45" i="4"/>
  <c r="B44" i="21"/>
  <c r="Z43" i="21"/>
  <c r="AH43" i="21" s="1"/>
  <c r="G56" i="28"/>
  <c r="B49" i="7"/>
  <c r="H44" i="21"/>
  <c r="Y44" i="21" s="1"/>
  <c r="O73" i="21"/>
  <c r="I46" i="12"/>
  <c r="S46" i="12"/>
  <c r="AX46" i="12"/>
  <c r="F47" i="12" s="1"/>
  <c r="W47" i="12" s="1"/>
  <c r="AF46" i="7"/>
  <c r="F47" i="7" s="1"/>
  <c r="H59" i="28"/>
  <c r="Y43" i="4"/>
  <c r="T45" i="28"/>
  <c r="V45" i="28"/>
  <c r="J45" i="28"/>
  <c r="K45" i="28" s="1"/>
  <c r="L45" i="28" s="1"/>
  <c r="Q45" i="28"/>
  <c r="I46" i="4"/>
  <c r="P46" i="4" s="1"/>
  <c r="AM46" i="4"/>
  <c r="B47" i="4" s="1"/>
  <c r="C44" i="21"/>
  <c r="T44" i="21" s="1"/>
  <c r="W44" i="4"/>
  <c r="X44" i="4"/>
  <c r="P45" i="4"/>
  <c r="Y43" i="28"/>
  <c r="F44" i="21"/>
  <c r="W44" i="21" s="1"/>
  <c r="BV45" i="12"/>
  <c r="AA45" i="12"/>
  <c r="AB45" i="12" s="1"/>
  <c r="AC45" i="12" s="1"/>
  <c r="AN45" i="12"/>
  <c r="AH47" i="7"/>
  <c r="H48" i="7" s="1"/>
  <c r="D63" i="28"/>
  <c r="O77" i="9" l="1"/>
  <c r="I82" i="9" s="1"/>
  <c r="I85" i="9" s="1"/>
  <c r="O76" i="24"/>
  <c r="I81" i="24" s="1"/>
  <c r="I84" i="24" s="1"/>
  <c r="O74" i="21"/>
  <c r="O75" i="21" s="1"/>
  <c r="O76" i="21" s="1"/>
  <c r="Q44" i="19"/>
  <c r="Y43" i="19"/>
  <c r="BP45" i="12"/>
  <c r="BA45" i="12"/>
  <c r="AD45" i="12"/>
  <c r="BO45" i="12"/>
  <c r="AO43" i="12"/>
  <c r="BU45" i="12"/>
  <c r="AI45" i="12"/>
  <c r="BB45" i="12"/>
  <c r="T44" i="19"/>
  <c r="X44" i="19" s="1"/>
  <c r="AT44" i="19"/>
  <c r="AU44" i="19" s="1"/>
  <c r="AP43" i="12"/>
  <c r="AQ43" i="12" s="1"/>
  <c r="E76" i="28"/>
  <c r="AG44" i="19"/>
  <c r="AQ44" i="19"/>
  <c r="F45" i="19" s="1"/>
  <c r="V44" i="19"/>
  <c r="J44" i="19"/>
  <c r="K44" i="19" s="1"/>
  <c r="L44" i="19" s="1"/>
  <c r="I85" i="12"/>
  <c r="AC44" i="19"/>
  <c r="AI44" i="19"/>
  <c r="AJ44" i="19"/>
  <c r="AN44" i="19"/>
  <c r="C45" i="19" s="1"/>
  <c r="AD44" i="19"/>
  <c r="AM44" i="19"/>
  <c r="B45" i="19" s="1"/>
  <c r="AS44" i="19"/>
  <c r="H45" i="19" s="1"/>
  <c r="AH45" i="12"/>
  <c r="O76" i="22"/>
  <c r="O77" i="23"/>
  <c r="I82" i="23" s="1"/>
  <c r="AP44" i="12"/>
  <c r="AB43" i="29"/>
  <c r="AC43" i="29" s="1"/>
  <c r="I85" i="29"/>
  <c r="O76" i="23"/>
  <c r="AG43" i="9"/>
  <c r="AO44" i="12"/>
  <c r="Q44" i="25"/>
  <c r="L33" i="8"/>
  <c r="T33" i="8" s="1"/>
  <c r="X45" i="1"/>
  <c r="W45" i="1"/>
  <c r="C48" i="1"/>
  <c r="I47" i="1"/>
  <c r="BS42" i="24"/>
  <c r="AZ43" i="26"/>
  <c r="AI42" i="24"/>
  <c r="AT43" i="26"/>
  <c r="AH43" i="9"/>
  <c r="X45" i="28"/>
  <c r="AL42" i="24"/>
  <c r="Q46" i="1"/>
  <c r="P46" i="1"/>
  <c r="J46" i="1"/>
  <c r="K46" i="1" s="1"/>
  <c r="L46" i="1" s="1"/>
  <c r="V46" i="1"/>
  <c r="T46" i="1"/>
  <c r="C6" i="14"/>
  <c r="Y44" i="1"/>
  <c r="BO42" i="24"/>
  <c r="BP42" i="24"/>
  <c r="AK43" i="9"/>
  <c r="AH42" i="24"/>
  <c r="BU42" i="24"/>
  <c r="H45" i="9"/>
  <c r="Y45" i="9" s="1"/>
  <c r="H46" i="9" s="1"/>
  <c r="Y46" i="9" s="1"/>
  <c r="H47" i="9" s="1"/>
  <c r="Y47" i="9" s="1"/>
  <c r="H48" i="9" s="1"/>
  <c r="Y48" i="9" s="1"/>
  <c r="H49" i="9" s="1"/>
  <c r="Y49" i="9" s="1"/>
  <c r="H50" i="9" s="1"/>
  <c r="Y50" i="9" s="1"/>
  <c r="H51" i="9" s="1"/>
  <c r="Y51" i="9" s="1"/>
  <c r="H52" i="9" s="1"/>
  <c r="Y52" i="9" s="1"/>
  <c r="H53" i="9" s="1"/>
  <c r="Y53" i="9" s="1"/>
  <c r="H54" i="9" s="1"/>
  <c r="Y54" i="9" s="1"/>
  <c r="H55" i="9" s="1"/>
  <c r="Y55" i="9" s="1"/>
  <c r="H56" i="9" s="1"/>
  <c r="Y56" i="9" s="1"/>
  <c r="H57" i="9" s="1"/>
  <c r="Y57" i="9" s="1"/>
  <c r="H58" i="9" s="1"/>
  <c r="Y58" i="9" s="1"/>
  <c r="H59" i="9" s="1"/>
  <c r="Y59" i="9" s="1"/>
  <c r="H60" i="9" s="1"/>
  <c r="Y60" i="9" s="1"/>
  <c r="H61" i="9" s="1"/>
  <c r="Y61" i="9" s="1"/>
  <c r="H62" i="9" s="1"/>
  <c r="Y62" i="9" s="1"/>
  <c r="H63" i="9" s="1"/>
  <c r="Y63" i="9" s="1"/>
  <c r="H64" i="9" s="1"/>
  <c r="Y64" i="9" s="1"/>
  <c r="H65" i="9" s="1"/>
  <c r="Y65" i="9" s="1"/>
  <c r="H66" i="9" s="1"/>
  <c r="Y66" i="9" s="1"/>
  <c r="H67" i="9" s="1"/>
  <c r="Y67" i="9" s="1"/>
  <c r="H68" i="9" s="1"/>
  <c r="Y68" i="9" s="1"/>
  <c r="H69" i="9" s="1"/>
  <c r="Y69" i="9" s="1"/>
  <c r="H70" i="9" s="1"/>
  <c r="Y70" i="9" s="1"/>
  <c r="H71" i="9" s="1"/>
  <c r="Y71" i="9" s="1"/>
  <c r="H72" i="9" s="1"/>
  <c r="Y72" i="9" s="1"/>
  <c r="H73" i="9" s="1"/>
  <c r="Y73" i="9" s="1"/>
  <c r="H74" i="9" s="1"/>
  <c r="Y74" i="9" s="1"/>
  <c r="H75" i="9" s="1"/>
  <c r="Y75" i="9" s="1"/>
  <c r="Y43" i="7"/>
  <c r="AG44" i="25"/>
  <c r="AJ44" i="25"/>
  <c r="V44" i="25"/>
  <c r="T44" i="25"/>
  <c r="AC44" i="25"/>
  <c r="AM44" i="25"/>
  <c r="B45" i="25" s="1"/>
  <c r="AI44" i="25"/>
  <c r="P44" i="25"/>
  <c r="J44" i="25"/>
  <c r="K44" i="25" s="1"/>
  <c r="L44" i="25" s="1"/>
  <c r="AT44" i="25"/>
  <c r="AU44" i="25" s="1"/>
  <c r="AN44" i="25"/>
  <c r="C45" i="25" s="1"/>
  <c r="AS44" i="25"/>
  <c r="H45" i="25" s="1"/>
  <c r="AQ44" i="25"/>
  <c r="F45" i="25" s="1"/>
  <c r="F45" i="9"/>
  <c r="W45" i="9" s="1"/>
  <c r="F46" i="9" s="1"/>
  <c r="W46" i="9" s="1"/>
  <c r="F47" i="9" s="1"/>
  <c r="W47" i="9" s="1"/>
  <c r="F48" i="9" s="1"/>
  <c r="W48" i="9" s="1"/>
  <c r="F49" i="9" s="1"/>
  <c r="W49" i="9" s="1"/>
  <c r="F50" i="9" s="1"/>
  <c r="W50" i="9" s="1"/>
  <c r="F51" i="9" s="1"/>
  <c r="W51" i="9" s="1"/>
  <c r="G52" i="9" s="1"/>
  <c r="X52" i="9" s="1"/>
  <c r="G53" i="9" s="1"/>
  <c r="X53" i="9" s="1"/>
  <c r="G54" i="9" s="1"/>
  <c r="X54" i="9" s="1"/>
  <c r="G55" i="9" s="1"/>
  <c r="X55" i="9" s="1"/>
  <c r="G56" i="9" s="1"/>
  <c r="X56" i="9" s="1"/>
  <c r="G57" i="9" s="1"/>
  <c r="X57" i="9" s="1"/>
  <c r="G58" i="9" s="1"/>
  <c r="X58" i="9" s="1"/>
  <c r="G59" i="9" s="1"/>
  <c r="X59" i="9" s="1"/>
  <c r="G60" i="9" s="1"/>
  <c r="X60" i="9" s="1"/>
  <c r="G61" i="9" s="1"/>
  <c r="X61" i="9" s="1"/>
  <c r="G62" i="9" s="1"/>
  <c r="X62" i="9" s="1"/>
  <c r="G63" i="9" s="1"/>
  <c r="X63" i="9" s="1"/>
  <c r="G64" i="9" s="1"/>
  <c r="X64" i="9" s="1"/>
  <c r="G65" i="9" s="1"/>
  <c r="X65" i="9" s="1"/>
  <c r="G66" i="9" s="1"/>
  <c r="X66" i="9" s="1"/>
  <c r="G67" i="9" s="1"/>
  <c r="X67" i="9" s="1"/>
  <c r="G68" i="9" s="1"/>
  <c r="X68" i="9" s="1"/>
  <c r="G69" i="9" s="1"/>
  <c r="X69" i="9" s="1"/>
  <c r="G70" i="9" s="1"/>
  <c r="X70" i="9" s="1"/>
  <c r="G71" i="9" s="1"/>
  <c r="X71" i="9" s="1"/>
  <c r="G72" i="9" s="1"/>
  <c r="X72" i="9" s="1"/>
  <c r="G73" i="9" s="1"/>
  <c r="X73" i="9" s="1"/>
  <c r="G74" i="9" s="1"/>
  <c r="X74" i="9" s="1"/>
  <c r="G75" i="9" s="1"/>
  <c r="X75" i="9" s="1"/>
  <c r="AK43" i="21"/>
  <c r="Y44" i="28"/>
  <c r="C45" i="9"/>
  <c r="T45" i="9" s="1"/>
  <c r="C46" i="9" s="1"/>
  <c r="T46" i="9" s="1"/>
  <c r="C47" i="9" s="1"/>
  <c r="T47" i="9" s="1"/>
  <c r="C48" i="9" s="1"/>
  <c r="T48" i="9" s="1"/>
  <c r="C49" i="9" s="1"/>
  <c r="T49" i="9" s="1"/>
  <c r="C50" i="9" s="1"/>
  <c r="T50" i="9" s="1"/>
  <c r="C51" i="9" s="1"/>
  <c r="T51" i="9" s="1"/>
  <c r="C52" i="9" s="1"/>
  <c r="T52" i="9" s="1"/>
  <c r="C53" i="9" s="1"/>
  <c r="T53" i="9" s="1"/>
  <c r="AD43" i="9"/>
  <c r="AA43" i="9"/>
  <c r="S44" i="9"/>
  <c r="I44" i="9"/>
  <c r="AX43" i="24"/>
  <c r="F44" i="24" s="1"/>
  <c r="W44" i="24" s="1"/>
  <c r="AU43" i="24"/>
  <c r="C44" i="24" s="1"/>
  <c r="T44" i="24" s="1"/>
  <c r="H53" i="1"/>
  <c r="I33" i="8"/>
  <c r="AN43" i="10"/>
  <c r="BA43" i="10"/>
  <c r="BK43" i="10"/>
  <c r="AT43" i="10"/>
  <c r="AA43" i="10"/>
  <c r="AH43" i="10"/>
  <c r="AD43" i="10"/>
  <c r="AI43" i="10"/>
  <c r="BL43" i="10"/>
  <c r="BK43" i="22"/>
  <c r="AA43" i="22"/>
  <c r="AB43" i="22" s="1"/>
  <c r="AC43" i="22" s="1"/>
  <c r="BA43" i="22"/>
  <c r="AD43" i="22"/>
  <c r="BL43" i="22"/>
  <c r="AL43" i="20"/>
  <c r="D33" i="8"/>
  <c r="S33" i="8" s="1"/>
  <c r="F51" i="1"/>
  <c r="S44" i="10"/>
  <c r="I44" i="10"/>
  <c r="Z44" i="29"/>
  <c r="AG44" i="29" s="1"/>
  <c r="B45" i="29"/>
  <c r="W45" i="28"/>
  <c r="AH43" i="22"/>
  <c r="AX43" i="20"/>
  <c r="AN43" i="26"/>
  <c r="AL43" i="26"/>
  <c r="AX43" i="26"/>
  <c r="AI43" i="26"/>
  <c r="AA43" i="26"/>
  <c r="AD43" i="26"/>
  <c r="AU43" i="26"/>
  <c r="BK43" i="26"/>
  <c r="BA43" i="26"/>
  <c r="AZ43" i="20"/>
  <c r="AA42" i="24"/>
  <c r="AB42" i="24" s="1"/>
  <c r="AC42" i="24" s="1"/>
  <c r="BV42" i="24"/>
  <c r="AD42" i="24"/>
  <c r="BA42" i="24"/>
  <c r="BB42" i="24"/>
  <c r="BE44" i="22"/>
  <c r="C45" i="22" s="1"/>
  <c r="T45" i="22" s="1"/>
  <c r="AO43" i="29"/>
  <c r="AN43" i="29"/>
  <c r="AN43" i="22"/>
  <c r="AA43" i="23"/>
  <c r="BA43" i="23"/>
  <c r="AD43" i="23"/>
  <c r="BK43" i="23"/>
  <c r="AI43" i="23"/>
  <c r="I44" i="22"/>
  <c r="J44" i="22" s="1"/>
  <c r="K44" i="22" s="1"/>
  <c r="L44" i="22" s="1"/>
  <c r="S44" i="22"/>
  <c r="AI43" i="20"/>
  <c r="AX43" i="23"/>
  <c r="AT43" i="20"/>
  <c r="AN43" i="20"/>
  <c r="S43" i="24"/>
  <c r="I43" i="24"/>
  <c r="J43" i="24" s="1"/>
  <c r="K43" i="24" s="1"/>
  <c r="L43" i="24" s="1"/>
  <c r="AI43" i="22"/>
  <c r="AL43" i="22"/>
  <c r="AN43" i="23"/>
  <c r="D4" i="14"/>
  <c r="P44" i="7"/>
  <c r="J44" i="7"/>
  <c r="K44" i="7" s="1"/>
  <c r="L44" i="7" s="1"/>
  <c r="V44" i="7"/>
  <c r="Q44" i="7"/>
  <c r="T44" i="7"/>
  <c r="AU43" i="20"/>
  <c r="AH43" i="23"/>
  <c r="BH44" i="22"/>
  <c r="F45" i="22" s="1"/>
  <c r="W45" i="22" s="1"/>
  <c r="BJ44" i="22"/>
  <c r="H45" i="22" s="1"/>
  <c r="Y45" i="22" s="1"/>
  <c r="C45" i="7"/>
  <c r="AI44" i="7"/>
  <c r="AJ44" i="7" s="1"/>
  <c r="BK43" i="20"/>
  <c r="BA43" i="20"/>
  <c r="AD43" i="20"/>
  <c r="AA43" i="20"/>
  <c r="AT43" i="23"/>
  <c r="B53" i="1"/>
  <c r="AZ43" i="24"/>
  <c r="H44" i="24" s="1"/>
  <c r="Y44" i="24" s="1"/>
  <c r="Z46" i="12"/>
  <c r="AH46" i="12" s="1"/>
  <c r="AT46" i="12"/>
  <c r="B47" i="12" s="1"/>
  <c r="H45" i="21"/>
  <c r="Y45" i="21" s="1"/>
  <c r="W45" i="10"/>
  <c r="G57" i="28"/>
  <c r="V46" i="28"/>
  <c r="J46" i="28"/>
  <c r="K46" i="28" s="1"/>
  <c r="L46" i="28" s="1"/>
  <c r="Q46" i="28"/>
  <c r="T46" i="28"/>
  <c r="AU49" i="12"/>
  <c r="C50" i="12" s="1"/>
  <c r="T50" i="12" s="1"/>
  <c r="AA43" i="21"/>
  <c r="AB43" i="21" s="1"/>
  <c r="AC43" i="21" s="1"/>
  <c r="AD43" i="21"/>
  <c r="B6" i="14"/>
  <c r="AT46" i="4"/>
  <c r="AU46" i="4" s="1"/>
  <c r="AJ46" i="4"/>
  <c r="J46" i="4"/>
  <c r="K46" i="4" s="1"/>
  <c r="L46" i="4" s="1"/>
  <c r="Q46" i="4"/>
  <c r="V46" i="4"/>
  <c r="T46" i="4"/>
  <c r="AH48" i="7"/>
  <c r="H49" i="7" s="1"/>
  <c r="P46" i="28"/>
  <c r="AZ48" i="12"/>
  <c r="H49" i="12" s="1"/>
  <c r="Y49" i="12" s="1"/>
  <c r="X45" i="4"/>
  <c r="W45" i="4"/>
  <c r="D64" i="28"/>
  <c r="AF47" i="7"/>
  <c r="F48" i="7" s="1"/>
  <c r="J46" i="12"/>
  <c r="K46" i="12" s="1"/>
  <c r="L46" i="12" s="1"/>
  <c r="F45" i="21"/>
  <c r="W45" i="21" s="1"/>
  <c r="Y44" i="4"/>
  <c r="AC46" i="4"/>
  <c r="H60" i="28"/>
  <c r="AG43" i="21"/>
  <c r="C45" i="21"/>
  <c r="T45" i="21" s="1"/>
  <c r="I47" i="4"/>
  <c r="P47" i="4" s="1"/>
  <c r="AX47" i="12"/>
  <c r="F48" i="12" s="1"/>
  <c r="W48" i="12" s="1"/>
  <c r="AM43" i="21"/>
  <c r="AB49" i="7"/>
  <c r="S44" i="21"/>
  <c r="I44" i="21"/>
  <c r="I47" i="28"/>
  <c r="P47" i="28" s="1"/>
  <c r="B48" i="28"/>
  <c r="D54" i="9" l="1"/>
  <c r="E54" i="9"/>
  <c r="V54" i="9" s="1"/>
  <c r="E55" i="9" s="1"/>
  <c r="V55" i="9" s="1"/>
  <c r="E56" i="9" s="1"/>
  <c r="V56" i="9" s="1"/>
  <c r="E57" i="9" s="1"/>
  <c r="V57" i="9" s="1"/>
  <c r="E58" i="9" s="1"/>
  <c r="V58" i="9" s="1"/>
  <c r="E59" i="9" s="1"/>
  <c r="V59" i="9" s="1"/>
  <c r="E60" i="9" s="1"/>
  <c r="V60" i="9" s="1"/>
  <c r="E61" i="9" s="1"/>
  <c r="V61" i="9" s="1"/>
  <c r="E62" i="9" s="1"/>
  <c r="V62" i="9" s="1"/>
  <c r="E63" i="9" s="1"/>
  <c r="V63" i="9" s="1"/>
  <c r="E64" i="9" s="1"/>
  <c r="V64" i="9" s="1"/>
  <c r="E65" i="9" s="1"/>
  <c r="V65" i="9" s="1"/>
  <c r="E66" i="9" s="1"/>
  <c r="V66" i="9" s="1"/>
  <c r="E67" i="9" s="1"/>
  <c r="V67" i="9" s="1"/>
  <c r="E68" i="9" s="1"/>
  <c r="V68" i="9" s="1"/>
  <c r="E69" i="9" s="1"/>
  <c r="V69" i="9" s="1"/>
  <c r="E70" i="9" s="1"/>
  <c r="V70" i="9" s="1"/>
  <c r="E71" i="9" s="1"/>
  <c r="V71" i="9" s="1"/>
  <c r="E72" i="9" s="1"/>
  <c r="V72" i="9" s="1"/>
  <c r="E73" i="9" s="1"/>
  <c r="V73" i="9" s="1"/>
  <c r="E74" i="9" s="1"/>
  <c r="V74" i="9" s="1"/>
  <c r="E75" i="9" s="1"/>
  <c r="V75" i="9" s="1"/>
  <c r="O77" i="21"/>
  <c r="W44" i="19"/>
  <c r="AO45" i="12"/>
  <c r="AO42" i="24"/>
  <c r="I45" i="19"/>
  <c r="P45" i="19" s="1"/>
  <c r="AP43" i="20"/>
  <c r="Y44" i="19"/>
  <c r="AP45" i="12"/>
  <c r="X76" i="9"/>
  <c r="G76" i="9" s="1"/>
  <c r="O77" i="22"/>
  <c r="I82" i="22" s="1"/>
  <c r="I85" i="22" s="1"/>
  <c r="AQ44" i="12"/>
  <c r="AB43" i="20"/>
  <c r="AC43" i="20" s="1"/>
  <c r="AB43" i="10"/>
  <c r="AC43" i="10" s="1"/>
  <c r="J44" i="10"/>
  <c r="K44" i="10" s="1"/>
  <c r="L44" i="10" s="1"/>
  <c r="AB43" i="9"/>
  <c r="AC43" i="9" s="1"/>
  <c r="J44" i="9"/>
  <c r="K44" i="9" s="1"/>
  <c r="L44" i="9" s="1"/>
  <c r="AB43" i="26"/>
  <c r="AC43" i="26" s="1"/>
  <c r="AB43" i="23"/>
  <c r="AC43" i="23" s="1"/>
  <c r="I85" i="23"/>
  <c r="AO43" i="9"/>
  <c r="Y45" i="1"/>
  <c r="AO43" i="26"/>
  <c r="AN43" i="9"/>
  <c r="AP42" i="24"/>
  <c r="AQ42" i="24" s="1"/>
  <c r="V47" i="1"/>
  <c r="J47" i="1"/>
  <c r="K47" i="1" s="1"/>
  <c r="L47" i="1" s="1"/>
  <c r="T47" i="1"/>
  <c r="C7" i="14"/>
  <c r="P47" i="1"/>
  <c r="Q47" i="1"/>
  <c r="C49" i="1"/>
  <c r="I48" i="1"/>
  <c r="Y45" i="28"/>
  <c r="W46" i="1"/>
  <c r="X46" i="1"/>
  <c r="BO46" i="12"/>
  <c r="AP43" i="26"/>
  <c r="B45" i="9"/>
  <c r="Z44" i="9"/>
  <c r="AG44" i="9" s="1"/>
  <c r="X44" i="25"/>
  <c r="W44" i="25"/>
  <c r="U54" i="9"/>
  <c r="D55" i="9" s="1"/>
  <c r="U55" i="9" s="1"/>
  <c r="D56" i="9" s="1"/>
  <c r="U56" i="9" s="1"/>
  <c r="D57" i="9" s="1"/>
  <c r="U57" i="9" s="1"/>
  <c r="D58" i="9" s="1"/>
  <c r="U58" i="9" s="1"/>
  <c r="D59" i="9" s="1"/>
  <c r="U59" i="9" s="1"/>
  <c r="D60" i="9" s="1"/>
  <c r="U60" i="9" s="1"/>
  <c r="D61" i="9" s="1"/>
  <c r="U61" i="9" s="1"/>
  <c r="D62" i="9" s="1"/>
  <c r="U62" i="9" s="1"/>
  <c r="D63" i="9" s="1"/>
  <c r="U63" i="9" s="1"/>
  <c r="D64" i="9" s="1"/>
  <c r="U64" i="9" s="1"/>
  <c r="D65" i="9" s="1"/>
  <c r="U65" i="9" s="1"/>
  <c r="D66" i="9" s="1"/>
  <c r="U66" i="9" s="1"/>
  <c r="D67" i="9" s="1"/>
  <c r="U67" i="9" s="1"/>
  <c r="D68" i="9" s="1"/>
  <c r="U68" i="9" s="1"/>
  <c r="D69" i="9" s="1"/>
  <c r="U69" i="9" s="1"/>
  <c r="D70" i="9" s="1"/>
  <c r="U70" i="9" s="1"/>
  <c r="D71" i="9" s="1"/>
  <c r="U71" i="9" s="1"/>
  <c r="D72" i="9" s="1"/>
  <c r="U72" i="9" s="1"/>
  <c r="D73" i="9" s="1"/>
  <c r="U73" i="9" s="1"/>
  <c r="D74" i="9" s="1"/>
  <c r="I45" i="25"/>
  <c r="AD45" i="25" s="1"/>
  <c r="AZ44" i="24"/>
  <c r="H45" i="24" s="1"/>
  <c r="Y45" i="24" s="1"/>
  <c r="AZ45" i="24" s="1"/>
  <c r="H46" i="24" s="1"/>
  <c r="Y46" i="24" s="1"/>
  <c r="AZ46" i="24" s="1"/>
  <c r="H47" i="24" s="1"/>
  <c r="Y47" i="24" s="1"/>
  <c r="AZ47" i="24" s="1"/>
  <c r="H48" i="24" s="1"/>
  <c r="Y48" i="24" s="1"/>
  <c r="AZ48" i="24" s="1"/>
  <c r="H49" i="24" s="1"/>
  <c r="Y49" i="24" s="1"/>
  <c r="AZ49" i="24" s="1"/>
  <c r="H50" i="24" s="1"/>
  <c r="Y50" i="24" s="1"/>
  <c r="G52" i="1"/>
  <c r="W46" i="4"/>
  <c r="AO43" i="22"/>
  <c r="AP43" i="22"/>
  <c r="Z44" i="22"/>
  <c r="AT44" i="22" s="1"/>
  <c r="BD44" i="22"/>
  <c r="B45" i="22" s="1"/>
  <c r="BJ45" i="22"/>
  <c r="H46" i="22" s="1"/>
  <c r="Y46" i="22" s="1"/>
  <c r="AP43" i="29"/>
  <c r="AU44" i="24"/>
  <c r="C45" i="24" s="1"/>
  <c r="T45" i="24" s="1"/>
  <c r="AU45" i="24" s="1"/>
  <c r="C46" i="24" s="1"/>
  <c r="T46" i="24" s="1"/>
  <c r="AU46" i="24" s="1"/>
  <c r="C47" i="24" s="1"/>
  <c r="T47" i="24" s="1"/>
  <c r="AU47" i="24" s="1"/>
  <c r="C48" i="24" s="1"/>
  <c r="T48" i="24" s="1"/>
  <c r="AU48" i="24" s="1"/>
  <c r="C49" i="24" s="1"/>
  <c r="T49" i="24" s="1"/>
  <c r="AU49" i="24" s="1"/>
  <c r="C50" i="24" s="1"/>
  <c r="T50" i="24" s="1"/>
  <c r="AX44" i="24"/>
  <c r="F45" i="24" s="1"/>
  <c r="W45" i="24" s="1"/>
  <c r="AX45" i="24" s="1"/>
  <c r="F46" i="24" s="1"/>
  <c r="W46" i="24" s="1"/>
  <c r="Z43" i="24"/>
  <c r="AH43" i="24" s="1"/>
  <c r="AT43" i="24"/>
  <c r="B44" i="24" s="1"/>
  <c r="AP43" i="23"/>
  <c r="AO43" i="23"/>
  <c r="BE43" i="23"/>
  <c r="C44" i="23" s="1"/>
  <c r="T44" i="23" s="1"/>
  <c r="BD43" i="23"/>
  <c r="BH43" i="23"/>
  <c r="F44" i="23" s="1"/>
  <c r="W44" i="23" s="1"/>
  <c r="BJ43" i="23"/>
  <c r="H44" i="23" s="1"/>
  <c r="Y44" i="23" s="1"/>
  <c r="S45" i="29"/>
  <c r="I45" i="29"/>
  <c r="J45" i="29" s="1"/>
  <c r="K45" i="29" s="1"/>
  <c r="L45" i="29" s="1"/>
  <c r="W44" i="7"/>
  <c r="X44" i="7"/>
  <c r="Y45" i="4"/>
  <c r="BH43" i="20"/>
  <c r="F44" i="20" s="1"/>
  <c r="W44" i="20" s="1"/>
  <c r="BJ43" i="20"/>
  <c r="H44" i="20" s="1"/>
  <c r="Y44" i="20" s="1"/>
  <c r="BE43" i="20"/>
  <c r="C44" i="20" s="1"/>
  <c r="T44" i="20" s="1"/>
  <c r="BD43" i="20"/>
  <c r="BH45" i="22"/>
  <c r="F46" i="22" s="1"/>
  <c r="W46" i="22" s="1"/>
  <c r="AD44" i="29"/>
  <c r="AA44" i="29"/>
  <c r="AK44" i="29"/>
  <c r="AM44" i="29"/>
  <c r="AH44" i="29"/>
  <c r="B54" i="1"/>
  <c r="BE45" i="22"/>
  <c r="C46" i="22" s="1"/>
  <c r="T46" i="22" s="1"/>
  <c r="BH43" i="26"/>
  <c r="BD43" i="26"/>
  <c r="BJ43" i="26"/>
  <c r="H44" i="26" s="1"/>
  <c r="Y44" i="26" s="1"/>
  <c r="BE43" i="26"/>
  <c r="AP43" i="10"/>
  <c r="AO43" i="10"/>
  <c r="I45" i="7"/>
  <c r="Q45" i="7" s="1"/>
  <c r="AC45" i="7"/>
  <c r="BD44" i="10"/>
  <c r="B45" i="10" s="1"/>
  <c r="Z44" i="10"/>
  <c r="H54" i="1"/>
  <c r="AO43" i="20"/>
  <c r="H61" i="28"/>
  <c r="B7" i="14"/>
  <c r="AT47" i="4"/>
  <c r="AJ47" i="4"/>
  <c r="J47" i="4"/>
  <c r="K47" i="4" s="1"/>
  <c r="L47" i="4" s="1"/>
  <c r="Q47" i="4"/>
  <c r="T47" i="4"/>
  <c r="V47" i="4"/>
  <c r="C46" i="21"/>
  <c r="T46" i="21" s="1"/>
  <c r="W46" i="28"/>
  <c r="X46" i="28"/>
  <c r="X46" i="4"/>
  <c r="BH45" i="10"/>
  <c r="F46" i="10" s="1"/>
  <c r="AU50" i="12"/>
  <c r="C51" i="12" s="1"/>
  <c r="T51" i="12" s="1"/>
  <c r="B50" i="7"/>
  <c r="F46" i="21"/>
  <c r="W46" i="21" s="1"/>
  <c r="AF48" i="7"/>
  <c r="F49" i="7" s="1"/>
  <c r="AZ49" i="12"/>
  <c r="H50" i="12" s="1"/>
  <c r="Y50" i="12" s="1"/>
  <c r="AH49" i="7"/>
  <c r="H50" i="7" s="1"/>
  <c r="G58" i="28"/>
  <c r="H46" i="21"/>
  <c r="Y46" i="21" s="1"/>
  <c r="BA46" i="12"/>
  <c r="BB46" i="12"/>
  <c r="AA46" i="12"/>
  <c r="BP46" i="12"/>
  <c r="BV46" i="12"/>
  <c r="AI46" i="12"/>
  <c r="AD46" i="12"/>
  <c r="AN46" i="12"/>
  <c r="BU46" i="12"/>
  <c r="BS46" i="12"/>
  <c r="AL46" i="12"/>
  <c r="I48" i="28"/>
  <c r="P48" i="28" s="1"/>
  <c r="B49" i="28"/>
  <c r="J44" i="21"/>
  <c r="K44" i="21" s="1"/>
  <c r="L44" i="21" s="1"/>
  <c r="Q47" i="28"/>
  <c r="J47" i="28"/>
  <c r="K47" i="28" s="1"/>
  <c r="L47" i="28" s="1"/>
  <c r="T47" i="28"/>
  <c r="V47" i="28"/>
  <c r="B45" i="21"/>
  <c r="Z44" i="21"/>
  <c r="AG44" i="21" s="1"/>
  <c r="AX48" i="12"/>
  <c r="F49" i="12" s="1"/>
  <c r="W49" i="12" s="1"/>
  <c r="AC47" i="4"/>
  <c r="AO43" i="21"/>
  <c r="AN43" i="21"/>
  <c r="D65" i="28"/>
  <c r="S47" i="12"/>
  <c r="I47" i="12"/>
  <c r="AQ45" i="12" l="1"/>
  <c r="AQ43" i="20"/>
  <c r="B33" i="8"/>
  <c r="I82" i="21"/>
  <c r="U74" i="9"/>
  <c r="AS45" i="19"/>
  <c r="H46" i="19" s="1"/>
  <c r="T45" i="19"/>
  <c r="AM45" i="19"/>
  <c r="B46" i="19" s="1"/>
  <c r="AC45" i="19"/>
  <c r="Y46" i="4"/>
  <c r="V45" i="19"/>
  <c r="J45" i="19"/>
  <c r="K45" i="19" s="1"/>
  <c r="L45" i="19" s="1"/>
  <c r="Q45" i="19"/>
  <c r="W45" i="19" s="1"/>
  <c r="AI45" i="19"/>
  <c r="AJ45" i="19"/>
  <c r="AQ45" i="19"/>
  <c r="F46" i="19" s="1"/>
  <c r="AN45" i="19"/>
  <c r="C46" i="19" s="1"/>
  <c r="I46" i="19" s="1"/>
  <c r="AT45" i="19"/>
  <c r="AU45" i="19" s="1"/>
  <c r="AG45" i="19"/>
  <c r="AD45" i="19"/>
  <c r="AP43" i="9"/>
  <c r="V76" i="9"/>
  <c r="E76" i="9" s="1"/>
  <c r="AB46" i="12"/>
  <c r="AC46" i="12" s="1"/>
  <c r="AB44" i="29"/>
  <c r="AC44" i="29" s="1"/>
  <c r="AQ43" i="26"/>
  <c r="AH44" i="22"/>
  <c r="AO44" i="29"/>
  <c r="C50" i="1"/>
  <c r="I49" i="1"/>
  <c r="AP46" i="12"/>
  <c r="Y44" i="7"/>
  <c r="Y46" i="1"/>
  <c r="X47" i="1"/>
  <c r="W47" i="1"/>
  <c r="X47" i="28"/>
  <c r="C8" i="14"/>
  <c r="T48" i="1"/>
  <c r="J48" i="1"/>
  <c r="K48" i="1" s="1"/>
  <c r="L48" i="1" s="1"/>
  <c r="V48" i="1"/>
  <c r="P48" i="1"/>
  <c r="Q48" i="1"/>
  <c r="W47" i="4"/>
  <c r="Y44" i="25"/>
  <c r="AA44" i="9"/>
  <c r="AD44" i="9"/>
  <c r="AH44" i="9"/>
  <c r="AM44" i="9"/>
  <c r="AK44" i="9"/>
  <c r="I45" i="9"/>
  <c r="S45" i="9"/>
  <c r="X47" i="4"/>
  <c r="AG45" i="25"/>
  <c r="AI45" i="25"/>
  <c r="T45" i="25"/>
  <c r="V45" i="25"/>
  <c r="Q45" i="25"/>
  <c r="P45" i="25"/>
  <c r="AM45" i="25"/>
  <c r="B46" i="25" s="1"/>
  <c r="J45" i="25"/>
  <c r="K45" i="25" s="1"/>
  <c r="L45" i="25" s="1"/>
  <c r="AQ45" i="25"/>
  <c r="F46" i="25" s="1"/>
  <c r="AN45" i="25"/>
  <c r="C46" i="25" s="1"/>
  <c r="AT45" i="25"/>
  <c r="AU45" i="25" s="1"/>
  <c r="AJ45" i="25"/>
  <c r="AS45" i="25"/>
  <c r="H46" i="25" s="1"/>
  <c r="AQ43" i="10"/>
  <c r="AQ43" i="23"/>
  <c r="AC45" i="25"/>
  <c r="BH46" i="22"/>
  <c r="F47" i="22" s="1"/>
  <c r="W47" i="22" s="1"/>
  <c r="S44" i="24"/>
  <c r="I44" i="24"/>
  <c r="J44" i="24" s="1"/>
  <c r="K44" i="24" s="1"/>
  <c r="L44" i="24" s="1"/>
  <c r="H55" i="1"/>
  <c r="S45" i="10"/>
  <c r="I45" i="10"/>
  <c r="BO43" i="24"/>
  <c r="BV43" i="24"/>
  <c r="BA43" i="24"/>
  <c r="AA43" i="24"/>
  <c r="AB43" i="24" s="1"/>
  <c r="AC43" i="24" s="1"/>
  <c r="BB43" i="24"/>
  <c r="AD43" i="24"/>
  <c r="AN43" i="24"/>
  <c r="BS43" i="24"/>
  <c r="BP43" i="24"/>
  <c r="AL43" i="24"/>
  <c r="AI43" i="24"/>
  <c r="BU43" i="24"/>
  <c r="S45" i="22"/>
  <c r="I45" i="22"/>
  <c r="J45" i="22" s="1"/>
  <c r="K45" i="22" s="1"/>
  <c r="L45" i="22" s="1"/>
  <c r="BK44" i="22"/>
  <c r="BL44" i="22"/>
  <c r="AA44" i="22"/>
  <c r="AB44" i="22" s="1"/>
  <c r="AC44" i="22" s="1"/>
  <c r="AD44" i="22"/>
  <c r="BA44" i="22"/>
  <c r="AI44" i="22"/>
  <c r="AL44" i="22"/>
  <c r="AN44" i="22"/>
  <c r="W47" i="28"/>
  <c r="AI44" i="10"/>
  <c r="AA44" i="10"/>
  <c r="BA44" i="10"/>
  <c r="BL44" i="10"/>
  <c r="AH44" i="10"/>
  <c r="AT44" i="10"/>
  <c r="AD44" i="10"/>
  <c r="AN44" i="10"/>
  <c r="AL44" i="10"/>
  <c r="BK44" i="10"/>
  <c r="C46" i="7"/>
  <c r="AI45" i="7"/>
  <c r="AJ45" i="7" s="1"/>
  <c r="B55" i="1"/>
  <c r="Z45" i="29"/>
  <c r="AG45" i="29" s="1"/>
  <c r="B46" i="29"/>
  <c r="BJ46" i="22"/>
  <c r="H47" i="22" s="1"/>
  <c r="Y47" i="22" s="1"/>
  <c r="G53" i="1"/>
  <c r="D5" i="14"/>
  <c r="T45" i="7"/>
  <c r="J45" i="7"/>
  <c r="K45" i="7" s="1"/>
  <c r="L45" i="7" s="1"/>
  <c r="P45" i="7"/>
  <c r="V45" i="7"/>
  <c r="B44" i="26"/>
  <c r="BL43" i="26"/>
  <c r="AN44" i="29"/>
  <c r="AQ43" i="22"/>
  <c r="BE46" i="22"/>
  <c r="C47" i="22" s="1"/>
  <c r="T47" i="22" s="1"/>
  <c r="B44" i="20"/>
  <c r="BL43" i="20"/>
  <c r="AP43" i="21"/>
  <c r="B44" i="23"/>
  <c r="BL43" i="23"/>
  <c r="H62" i="28"/>
  <c r="AH50" i="7"/>
  <c r="H51" i="7" s="1"/>
  <c r="J47" i="12"/>
  <c r="K47" i="12" s="1"/>
  <c r="L47" i="12" s="1"/>
  <c r="AX49" i="12"/>
  <c r="F50" i="12" s="1"/>
  <c r="W50" i="12" s="1"/>
  <c r="AF49" i="7"/>
  <c r="F50" i="7" s="1"/>
  <c r="AB50" i="7"/>
  <c r="S45" i="21"/>
  <c r="I45" i="21"/>
  <c r="H47" i="21"/>
  <c r="Y47" i="21" s="1"/>
  <c r="AU51" i="12"/>
  <c r="C52" i="12" s="1"/>
  <c r="T52" i="12" s="1"/>
  <c r="AO46" i="12"/>
  <c r="W46" i="10"/>
  <c r="AU50" i="24"/>
  <c r="C51" i="24" s="1"/>
  <c r="T51" i="24" s="1"/>
  <c r="C47" i="21"/>
  <c r="T47" i="21" s="1"/>
  <c r="AX46" i="24"/>
  <c r="F47" i="24" s="1"/>
  <c r="G59" i="28"/>
  <c r="AA44" i="21"/>
  <c r="AB44" i="21" s="1"/>
  <c r="AC44" i="21" s="1"/>
  <c r="AD44" i="21"/>
  <c r="AH44" i="21"/>
  <c r="AM44" i="21"/>
  <c r="AK44" i="21"/>
  <c r="Q48" i="28"/>
  <c r="J48" i="28"/>
  <c r="K48" i="28" s="1"/>
  <c r="L48" i="28" s="1"/>
  <c r="V48" i="28"/>
  <c r="T48" i="28"/>
  <c r="AZ50" i="12"/>
  <c r="H51" i="12" s="1"/>
  <c r="Y51" i="12" s="1"/>
  <c r="Z47" i="12"/>
  <c r="BO47" i="12" s="1"/>
  <c r="AT47" i="12"/>
  <c r="B48" i="12" s="1"/>
  <c r="D66" i="28"/>
  <c r="B50" i="28"/>
  <c r="I49" i="28"/>
  <c r="P49" i="28" s="1"/>
  <c r="F47" i="21"/>
  <c r="W47" i="21" s="1"/>
  <c r="AZ50" i="24"/>
  <c r="H51" i="24" s="1"/>
  <c r="Y51" i="24" s="1"/>
  <c r="Y46" i="28"/>
  <c r="C48" i="4"/>
  <c r="B48" i="4"/>
  <c r="AU47" i="4"/>
  <c r="F48" i="4"/>
  <c r="H48" i="4"/>
  <c r="I85" i="21" l="1"/>
  <c r="C33" i="8"/>
  <c r="F33" i="8"/>
  <c r="Q33" i="8"/>
  <c r="D75" i="9"/>
  <c r="X45" i="19"/>
  <c r="T46" i="19"/>
  <c r="AG46" i="19"/>
  <c r="Y45" i="19"/>
  <c r="Y76" i="9"/>
  <c r="H76" i="9" s="1"/>
  <c r="J45" i="10"/>
  <c r="K45" i="10" s="1"/>
  <c r="L45" i="10" s="1"/>
  <c r="AB44" i="10"/>
  <c r="AC44" i="10" s="1"/>
  <c r="AB44" i="9"/>
  <c r="AC44" i="9" s="1"/>
  <c r="J45" i="9"/>
  <c r="K45" i="9" s="1"/>
  <c r="L45" i="9" s="1"/>
  <c r="AQ46" i="12"/>
  <c r="AP44" i="29"/>
  <c r="AP44" i="22"/>
  <c r="Y47" i="4"/>
  <c r="Y47" i="1"/>
  <c r="Y47" i="28"/>
  <c r="AP43" i="24"/>
  <c r="AN44" i="9"/>
  <c r="Q49" i="1"/>
  <c r="P49" i="1"/>
  <c r="C9" i="14"/>
  <c r="V49" i="1"/>
  <c r="J49" i="1"/>
  <c r="K49" i="1" s="1"/>
  <c r="L49" i="1" s="1"/>
  <c r="T49" i="1"/>
  <c r="W48" i="1"/>
  <c r="X48" i="1"/>
  <c r="C51" i="1"/>
  <c r="I50" i="1"/>
  <c r="AO44" i="9"/>
  <c r="X45" i="25"/>
  <c r="W45" i="25"/>
  <c r="Z45" i="9"/>
  <c r="B46" i="9"/>
  <c r="AN44" i="21"/>
  <c r="AO44" i="21"/>
  <c r="AO44" i="22"/>
  <c r="I46" i="25"/>
  <c r="AC46" i="25" s="1"/>
  <c r="X45" i="7"/>
  <c r="W45" i="7"/>
  <c r="AD46" i="19"/>
  <c r="I44" i="23"/>
  <c r="S44" i="23"/>
  <c r="I44" i="20"/>
  <c r="S44" i="20"/>
  <c r="S46" i="29"/>
  <c r="I46" i="29"/>
  <c r="J46" i="29" s="1"/>
  <c r="K46" i="29" s="1"/>
  <c r="L46" i="29" s="1"/>
  <c r="AP44" i="10"/>
  <c r="AO44" i="10"/>
  <c r="AT44" i="24"/>
  <c r="B45" i="24" s="1"/>
  <c r="Z44" i="24"/>
  <c r="AH44" i="24" s="1"/>
  <c r="AD45" i="29"/>
  <c r="AK45" i="29"/>
  <c r="AH45" i="29"/>
  <c r="AA45" i="29"/>
  <c r="AM45" i="29"/>
  <c r="AC46" i="7"/>
  <c r="I46" i="7"/>
  <c r="Q46" i="7" s="1"/>
  <c r="AI46" i="19"/>
  <c r="AO43" i="24"/>
  <c r="G54" i="1"/>
  <c r="BD45" i="22"/>
  <c r="B46" i="22" s="1"/>
  <c r="Z45" i="22"/>
  <c r="AH45" i="22" s="1"/>
  <c r="BD45" i="10"/>
  <c r="B46" i="10" s="1"/>
  <c r="Z45" i="10"/>
  <c r="AH47" i="12"/>
  <c r="X48" i="28"/>
  <c r="V46" i="19"/>
  <c r="S44" i="26"/>
  <c r="I44" i="26"/>
  <c r="H56" i="1"/>
  <c r="B56" i="1"/>
  <c r="AU51" i="24"/>
  <c r="C52" i="24" s="1"/>
  <c r="T52" i="24" s="1"/>
  <c r="B51" i="7"/>
  <c r="AF50" i="7"/>
  <c r="AN48" i="4"/>
  <c r="C49" i="4" s="1"/>
  <c r="BH46" i="10"/>
  <c r="F47" i="10" s="1"/>
  <c r="H48" i="21"/>
  <c r="Y48" i="21" s="1"/>
  <c r="AM46" i="19"/>
  <c r="B47" i="19" s="1"/>
  <c r="AJ46" i="19"/>
  <c r="AN46" i="19"/>
  <c r="C47" i="19" s="1"/>
  <c r="J46" i="19"/>
  <c r="K46" i="19" s="1"/>
  <c r="L46" i="19" s="1"/>
  <c r="AS46" i="19"/>
  <c r="H47" i="19" s="1"/>
  <c r="AT46" i="19"/>
  <c r="AU46" i="19" s="1"/>
  <c r="AQ46" i="19"/>
  <c r="F47" i="19" s="1"/>
  <c r="Q46" i="19"/>
  <c r="D67" i="28"/>
  <c r="G60" i="28"/>
  <c r="AU52" i="12"/>
  <c r="C53" i="12" s="1"/>
  <c r="T53" i="12" s="1"/>
  <c r="AQ48" i="4"/>
  <c r="F49" i="4" s="1"/>
  <c r="J49" i="28"/>
  <c r="K49" i="28" s="1"/>
  <c r="L49" i="28" s="1"/>
  <c r="Q49" i="28"/>
  <c r="V49" i="28"/>
  <c r="T49" i="28"/>
  <c r="I48" i="12"/>
  <c r="S48" i="12"/>
  <c r="W47" i="24"/>
  <c r="J45" i="21"/>
  <c r="K45" i="21" s="1"/>
  <c r="L45" i="21" s="1"/>
  <c r="AC46" i="19"/>
  <c r="AH51" i="7"/>
  <c r="H52" i="7" s="1"/>
  <c r="AS48" i="4"/>
  <c r="H49" i="4" s="1"/>
  <c r="AZ51" i="24"/>
  <c r="H52" i="24" s="1"/>
  <c r="Y52" i="24" s="1"/>
  <c r="AZ51" i="12"/>
  <c r="H52" i="12" s="1"/>
  <c r="Y52" i="12" s="1"/>
  <c r="W48" i="28"/>
  <c r="I48" i="4"/>
  <c r="AG48" i="4" s="1"/>
  <c r="AM48" i="4"/>
  <c r="B49" i="4" s="1"/>
  <c r="F48" i="21"/>
  <c r="W48" i="21" s="1"/>
  <c r="B51" i="28"/>
  <c r="I50" i="28"/>
  <c r="P50" i="28" s="1"/>
  <c r="AA47" i="12"/>
  <c r="BB47" i="12"/>
  <c r="BA47" i="12"/>
  <c r="AD47" i="12"/>
  <c r="BV47" i="12"/>
  <c r="BP47" i="12"/>
  <c r="AI47" i="12"/>
  <c r="AN47" i="12"/>
  <c r="BU47" i="12"/>
  <c r="BS47" i="12"/>
  <c r="AL47" i="12"/>
  <c r="C48" i="21"/>
  <c r="T48" i="21" s="1"/>
  <c r="B46" i="21"/>
  <c r="Z45" i="21"/>
  <c r="AG45" i="21" s="1"/>
  <c r="P46" i="19"/>
  <c r="AX50" i="12"/>
  <c r="F51" i="12" s="1"/>
  <c r="W51" i="12" s="1"/>
  <c r="H63" i="28"/>
  <c r="G33" i="8" l="1"/>
  <c r="R33" i="8"/>
  <c r="H33" i="8"/>
  <c r="AD48" i="4"/>
  <c r="AI48" i="4"/>
  <c r="U75" i="9"/>
  <c r="AP44" i="9"/>
  <c r="Y45" i="7"/>
  <c r="AB47" i="12"/>
  <c r="AC47" i="12" s="1"/>
  <c r="J44" i="20"/>
  <c r="K44" i="20" s="1"/>
  <c r="L44" i="20" s="1"/>
  <c r="AB45" i="29"/>
  <c r="AC45" i="29" s="1"/>
  <c r="J44" i="26"/>
  <c r="K44" i="26" s="1"/>
  <c r="L44" i="26" s="1"/>
  <c r="J44" i="23"/>
  <c r="K44" i="23" s="1"/>
  <c r="L44" i="23" s="1"/>
  <c r="AQ44" i="22"/>
  <c r="AT45" i="22"/>
  <c r="AQ43" i="24"/>
  <c r="AP44" i="21"/>
  <c r="Y48" i="28"/>
  <c r="X49" i="28"/>
  <c r="P50" i="1"/>
  <c r="J50" i="1"/>
  <c r="K50" i="1" s="1"/>
  <c r="L50" i="1" s="1"/>
  <c r="T50" i="1"/>
  <c r="C10" i="14"/>
  <c r="V50" i="1"/>
  <c r="Y48" i="1"/>
  <c r="C52" i="1"/>
  <c r="I51" i="1"/>
  <c r="AQ44" i="10"/>
  <c r="P46" i="25"/>
  <c r="Y45" i="25"/>
  <c r="Q50" i="1"/>
  <c r="X49" i="1"/>
  <c r="W49" i="1"/>
  <c r="Q46" i="25"/>
  <c r="W49" i="28"/>
  <c r="S46" i="9"/>
  <c r="I46" i="9"/>
  <c r="T46" i="25"/>
  <c r="AQ46" i="25"/>
  <c r="F47" i="25" s="1"/>
  <c r="AJ46" i="25"/>
  <c r="AM46" i="25"/>
  <c r="B47" i="25" s="1"/>
  <c r="AS46" i="25"/>
  <c r="H47" i="25" s="1"/>
  <c r="AT46" i="25"/>
  <c r="AU46" i="25" s="1"/>
  <c r="AN46" i="25"/>
  <c r="C47" i="25" s="1"/>
  <c r="J46" i="25"/>
  <c r="K46" i="25" s="1"/>
  <c r="L46" i="25" s="1"/>
  <c r="AG45" i="9"/>
  <c r="AA45" i="9"/>
  <c r="AM45" i="9"/>
  <c r="AD45" i="9"/>
  <c r="AK45" i="9"/>
  <c r="AH45" i="9"/>
  <c r="P48" i="4"/>
  <c r="BO44" i="24"/>
  <c r="V46" i="25"/>
  <c r="AI46" i="25"/>
  <c r="AG46" i="25"/>
  <c r="AO45" i="29"/>
  <c r="AD46" i="25"/>
  <c r="AD45" i="10"/>
  <c r="AT45" i="10"/>
  <c r="BA45" i="10"/>
  <c r="BL45" i="10"/>
  <c r="BK45" i="10"/>
  <c r="AI45" i="10"/>
  <c r="AN45" i="10"/>
  <c r="AA45" i="10"/>
  <c r="AL45" i="10"/>
  <c r="AH45" i="10"/>
  <c r="Z44" i="20"/>
  <c r="B57" i="1"/>
  <c r="S46" i="10"/>
  <c r="I46" i="10"/>
  <c r="AA44" i="24"/>
  <c r="AB44" i="24" s="1"/>
  <c r="AC44" i="24" s="1"/>
  <c r="BV44" i="24"/>
  <c r="BB44" i="24"/>
  <c r="BA44" i="24"/>
  <c r="AD44" i="24"/>
  <c r="AI44" i="24"/>
  <c r="BU44" i="24"/>
  <c r="BP44" i="24"/>
  <c r="AN44" i="24"/>
  <c r="BS44" i="24"/>
  <c r="AL44" i="24"/>
  <c r="Z44" i="26"/>
  <c r="AH44" i="26" s="1"/>
  <c r="S45" i="24"/>
  <c r="I45" i="24"/>
  <c r="J45" i="24" s="1"/>
  <c r="K45" i="24" s="1"/>
  <c r="L45" i="24" s="1"/>
  <c r="Z44" i="23"/>
  <c r="AN45" i="29"/>
  <c r="B47" i="29"/>
  <c r="Z46" i="29"/>
  <c r="T46" i="7"/>
  <c r="J46" i="7"/>
  <c r="K46" i="7" s="1"/>
  <c r="L46" i="7" s="1"/>
  <c r="D6" i="14"/>
  <c r="P46" i="7"/>
  <c r="V46" i="7"/>
  <c r="AP47" i="12"/>
  <c r="AA45" i="22"/>
  <c r="AB45" i="22" s="1"/>
  <c r="AC45" i="22" s="1"/>
  <c r="BK45" i="22"/>
  <c r="BA45" i="22"/>
  <c r="AD45" i="22"/>
  <c r="BL45" i="22"/>
  <c r="AL45" i="22"/>
  <c r="AI45" i="22"/>
  <c r="AN45" i="22"/>
  <c r="C47" i="7"/>
  <c r="AI46" i="7"/>
  <c r="AJ46" i="7" s="1"/>
  <c r="G55" i="1"/>
  <c r="H57" i="1"/>
  <c r="S46" i="22"/>
  <c r="I46" i="22"/>
  <c r="J46" i="22" s="1"/>
  <c r="K46" i="22" s="1"/>
  <c r="L46" i="22" s="1"/>
  <c r="C49" i="21"/>
  <c r="T49" i="21" s="1"/>
  <c r="AZ52" i="24"/>
  <c r="H53" i="24" s="1"/>
  <c r="Y53" i="24" s="1"/>
  <c r="AX47" i="24"/>
  <c r="F48" i="24" s="1"/>
  <c r="J48" i="12"/>
  <c r="K48" i="12" s="1"/>
  <c r="L48" i="12" s="1"/>
  <c r="G61" i="28"/>
  <c r="G52" i="7"/>
  <c r="F51" i="7"/>
  <c r="B50" i="4"/>
  <c r="I49" i="4"/>
  <c r="P49" i="4" s="1"/>
  <c r="F50" i="4"/>
  <c r="C50" i="4"/>
  <c r="AB51" i="7"/>
  <c r="S46" i="21"/>
  <c r="I46" i="21"/>
  <c r="F49" i="21"/>
  <c r="W49" i="21" s="1"/>
  <c r="AX51" i="12"/>
  <c r="G52" i="12" s="1"/>
  <c r="X52" i="12" s="1"/>
  <c r="T50" i="28"/>
  <c r="J50" i="28"/>
  <c r="K50" i="28" s="1"/>
  <c r="L50" i="28" s="1"/>
  <c r="Q50" i="28"/>
  <c r="V50" i="28"/>
  <c r="AC48" i="4"/>
  <c r="AO47" i="12"/>
  <c r="AQ47" i="12" s="1"/>
  <c r="H50" i="4"/>
  <c r="AH52" i="7"/>
  <c r="H53" i="7" s="1"/>
  <c r="T48" i="4"/>
  <c r="D68" i="28"/>
  <c r="H49" i="21"/>
  <c r="Y49" i="21" s="1"/>
  <c r="W47" i="10"/>
  <c r="AU52" i="24"/>
  <c r="H64" i="28"/>
  <c r="W46" i="19"/>
  <c r="X46" i="19"/>
  <c r="AD45" i="21"/>
  <c r="AA45" i="21"/>
  <c r="AB45" i="21" s="1"/>
  <c r="AC45" i="21" s="1"/>
  <c r="AK45" i="21"/>
  <c r="AM45" i="21"/>
  <c r="AH45" i="21"/>
  <c r="I51" i="28"/>
  <c r="P51" i="28" s="1"/>
  <c r="B52" i="28"/>
  <c r="AT48" i="4"/>
  <c r="AU48" i="4" s="1"/>
  <c r="B8" i="14"/>
  <c r="J48" i="4"/>
  <c r="K48" i="4" s="1"/>
  <c r="L48" i="4" s="1"/>
  <c r="AJ48" i="4"/>
  <c r="AZ52" i="12"/>
  <c r="H53" i="12" s="1"/>
  <c r="Y53" i="12" s="1"/>
  <c r="V48" i="4"/>
  <c r="Z48" i="12"/>
  <c r="AH48" i="12" s="1"/>
  <c r="AT48" i="12"/>
  <c r="B49" i="12" s="1"/>
  <c r="AU53" i="12"/>
  <c r="I47" i="19"/>
  <c r="AG47" i="19" s="1"/>
  <c r="Q48" i="4"/>
  <c r="AH44" i="23" l="1"/>
  <c r="AU44" i="23"/>
  <c r="E54" i="12"/>
  <c r="D54" i="12"/>
  <c r="E53" i="24"/>
  <c r="D53" i="24"/>
  <c r="AD49" i="4"/>
  <c r="AG49" i="4"/>
  <c r="U76" i="9"/>
  <c r="D76" i="9" s="1"/>
  <c r="Y49" i="28"/>
  <c r="Y49" i="1"/>
  <c r="AB45" i="10"/>
  <c r="AC45" i="10" s="1"/>
  <c r="J46" i="10"/>
  <c r="K46" i="10" s="1"/>
  <c r="L46" i="10" s="1"/>
  <c r="AB45" i="9"/>
  <c r="AC45" i="9" s="1"/>
  <c r="J46" i="9"/>
  <c r="K46" i="9" s="1"/>
  <c r="L46" i="9" s="1"/>
  <c r="V49" i="4"/>
  <c r="X46" i="25"/>
  <c r="AO45" i="21"/>
  <c r="I52" i="1"/>
  <c r="C53" i="1"/>
  <c r="AO45" i="22"/>
  <c r="AP45" i="29"/>
  <c r="X50" i="1"/>
  <c r="W50" i="1"/>
  <c r="W46" i="25"/>
  <c r="J51" i="1"/>
  <c r="K51" i="1" s="1"/>
  <c r="L51" i="1" s="1"/>
  <c r="C11" i="14"/>
  <c r="T51" i="1"/>
  <c r="P51" i="1"/>
  <c r="V51" i="1"/>
  <c r="Q51" i="1"/>
  <c r="AP44" i="24"/>
  <c r="T49" i="4"/>
  <c r="I47" i="25"/>
  <c r="V47" i="25" s="1"/>
  <c r="AT44" i="26"/>
  <c r="AN45" i="9"/>
  <c r="B47" i="9"/>
  <c r="Z46" i="9"/>
  <c r="X50" i="28"/>
  <c r="Q49" i="4"/>
  <c r="AO45" i="9"/>
  <c r="BD46" i="22"/>
  <c r="B47" i="22" s="1"/>
  <c r="Z46" i="22"/>
  <c r="AT46" i="22" s="1"/>
  <c r="AA44" i="20"/>
  <c r="BK44" i="20"/>
  <c r="BA44" i="20"/>
  <c r="AD44" i="20"/>
  <c r="AL44" i="20"/>
  <c r="AX44" i="20"/>
  <c r="AI44" i="20"/>
  <c r="AU44" i="20"/>
  <c r="AZ44" i="20"/>
  <c r="AN44" i="20"/>
  <c r="H58" i="1"/>
  <c r="AP45" i="22"/>
  <c r="AT44" i="23"/>
  <c r="AA44" i="23"/>
  <c r="AL44" i="23"/>
  <c r="BA44" i="23"/>
  <c r="AD44" i="23"/>
  <c r="AX44" i="23"/>
  <c r="AN44" i="23"/>
  <c r="BK44" i="23"/>
  <c r="AI44" i="23"/>
  <c r="AH44" i="20"/>
  <c r="W48" i="4"/>
  <c r="AT44" i="20"/>
  <c r="T47" i="19"/>
  <c r="G56" i="1"/>
  <c r="AT45" i="24"/>
  <c r="B46" i="24" s="1"/>
  <c r="Z45" i="24"/>
  <c r="BD46" i="10"/>
  <c r="B47" i="10" s="1"/>
  <c r="Z46" i="10"/>
  <c r="AO44" i="24"/>
  <c r="AQ44" i="24" s="1"/>
  <c r="AK46" i="29"/>
  <c r="AM46" i="29"/>
  <c r="AH46" i="29"/>
  <c r="AA46" i="29"/>
  <c r="AD46" i="29"/>
  <c r="AC49" i="4"/>
  <c r="AC47" i="7"/>
  <c r="I47" i="7"/>
  <c r="Q47" i="7" s="1"/>
  <c r="W46" i="7"/>
  <c r="X46" i="7"/>
  <c r="AG46" i="29"/>
  <c r="B58" i="1"/>
  <c r="AO45" i="10"/>
  <c r="AP45" i="10"/>
  <c r="P47" i="19"/>
  <c r="I47" i="29"/>
  <c r="J47" i="29" s="1"/>
  <c r="K47" i="29" s="1"/>
  <c r="L47" i="29" s="1"/>
  <c r="S47" i="29"/>
  <c r="AL44" i="26"/>
  <c r="BK44" i="26"/>
  <c r="AI44" i="26"/>
  <c r="AD44" i="26"/>
  <c r="BA44" i="26"/>
  <c r="AA44" i="26"/>
  <c r="AX44" i="26"/>
  <c r="AU44" i="26"/>
  <c r="AZ44" i="26"/>
  <c r="AN44" i="26"/>
  <c r="B52" i="7"/>
  <c r="AF51" i="7"/>
  <c r="G62" i="28"/>
  <c r="AZ53" i="24"/>
  <c r="H54" i="24" s="1"/>
  <c r="Y54" i="24" s="1"/>
  <c r="C50" i="21"/>
  <c r="T50" i="21" s="1"/>
  <c r="S49" i="12"/>
  <c r="I49" i="12"/>
  <c r="AH53" i="7"/>
  <c r="H54" i="7" s="1"/>
  <c r="F50" i="21"/>
  <c r="W50" i="21" s="1"/>
  <c r="AN50" i="4"/>
  <c r="C51" i="4" s="1"/>
  <c r="AG52" i="7"/>
  <c r="G53" i="7" s="1"/>
  <c r="X48" i="4"/>
  <c r="V54" i="12"/>
  <c r="U54" i="12"/>
  <c r="AN47" i="19"/>
  <c r="C48" i="19" s="1"/>
  <c r="AT47" i="19"/>
  <c r="AU47" i="19" s="1"/>
  <c r="AM47" i="19"/>
  <c r="B48" i="19" s="1"/>
  <c r="AJ47" i="19"/>
  <c r="AS47" i="19"/>
  <c r="H48" i="19" s="1"/>
  <c r="J47" i="19"/>
  <c r="K47" i="19" s="1"/>
  <c r="L47" i="19" s="1"/>
  <c r="AQ47" i="19"/>
  <c r="F48" i="19" s="1"/>
  <c r="I52" i="28"/>
  <c r="B53" i="28"/>
  <c r="V47" i="19"/>
  <c r="AA48" i="12"/>
  <c r="BB48" i="12"/>
  <c r="AD48" i="12"/>
  <c r="BA48" i="12"/>
  <c r="BV48" i="12"/>
  <c r="AI48" i="12"/>
  <c r="BP48" i="12"/>
  <c r="AN48" i="12"/>
  <c r="BU48" i="12"/>
  <c r="AL48" i="12"/>
  <c r="BS48" i="12"/>
  <c r="Y46" i="19"/>
  <c r="D69" i="28"/>
  <c r="J46" i="21"/>
  <c r="K46" i="21" s="1"/>
  <c r="L46" i="21" s="1"/>
  <c r="AD47" i="19"/>
  <c r="AT49" i="4"/>
  <c r="AU49" i="4" s="1"/>
  <c r="J49" i="4"/>
  <c r="K49" i="4" s="1"/>
  <c r="L49" i="4" s="1"/>
  <c r="B9" i="14"/>
  <c r="AJ49" i="4"/>
  <c r="W50" i="28"/>
  <c r="AN45" i="21"/>
  <c r="AC47" i="19"/>
  <c r="AI47" i="19"/>
  <c r="BO48" i="12"/>
  <c r="AZ53" i="12"/>
  <c r="H54" i="12" s="1"/>
  <c r="Y54" i="12" s="1"/>
  <c r="J51" i="28"/>
  <c r="K51" i="28" s="1"/>
  <c r="L51" i="28" s="1"/>
  <c r="T51" i="28"/>
  <c r="Q51" i="28"/>
  <c r="V51" i="28"/>
  <c r="H65" i="28"/>
  <c r="U53" i="24"/>
  <c r="V53" i="24"/>
  <c r="H50" i="21"/>
  <c r="Y50" i="21" s="1"/>
  <c r="AS50" i="4"/>
  <c r="H51" i="4" s="1"/>
  <c r="AY52" i="12"/>
  <c r="G53" i="12" s="1"/>
  <c r="X53" i="12" s="1"/>
  <c r="B47" i="21"/>
  <c r="Z46" i="21"/>
  <c r="AG46" i="21" s="1"/>
  <c r="Q47" i="19"/>
  <c r="AQ50" i="4"/>
  <c r="F51" i="4" s="1"/>
  <c r="AM50" i="4"/>
  <c r="B51" i="4" s="1"/>
  <c r="I50" i="4"/>
  <c r="V50" i="4" s="1"/>
  <c r="W48" i="24"/>
  <c r="AP44" i="23" l="1"/>
  <c r="AD50" i="4"/>
  <c r="AI50" i="4"/>
  <c r="AG50" i="4"/>
  <c r="AD51" i="4"/>
  <c r="Y46" i="25"/>
  <c r="X49" i="4"/>
  <c r="P52" i="28"/>
  <c r="AB48" i="12"/>
  <c r="AC48" i="12" s="1"/>
  <c r="AB44" i="20"/>
  <c r="AC44" i="20" s="1"/>
  <c r="AB46" i="29"/>
  <c r="AC46" i="29" s="1"/>
  <c r="AB44" i="26"/>
  <c r="AC44" i="26" s="1"/>
  <c r="AB44" i="23"/>
  <c r="AC44" i="23" s="1"/>
  <c r="W49" i="4"/>
  <c r="AP45" i="21"/>
  <c r="T47" i="25"/>
  <c r="Y50" i="28"/>
  <c r="X47" i="19"/>
  <c r="Q47" i="25"/>
  <c r="AC47" i="25"/>
  <c r="Y50" i="1"/>
  <c r="X51" i="1"/>
  <c r="W51" i="1"/>
  <c r="Y48" i="4"/>
  <c r="AQ45" i="22"/>
  <c r="E55" i="1"/>
  <c r="E56" i="1" s="1"/>
  <c r="I53" i="1"/>
  <c r="AD47" i="25"/>
  <c r="AG47" i="25"/>
  <c r="Q52" i="1"/>
  <c r="C12" i="14"/>
  <c r="U52" i="1"/>
  <c r="J52" i="1"/>
  <c r="K52" i="1" s="1"/>
  <c r="L52" i="1" s="1"/>
  <c r="P52" i="1"/>
  <c r="V52" i="1"/>
  <c r="X51" i="28"/>
  <c r="AO48" i="12"/>
  <c r="AH46" i="22"/>
  <c r="AP45" i="9"/>
  <c r="AG46" i="9"/>
  <c r="AM46" i="9"/>
  <c r="AA46" i="9"/>
  <c r="AH46" i="9"/>
  <c r="AD46" i="9"/>
  <c r="AK46" i="9"/>
  <c r="AP44" i="26"/>
  <c r="I47" i="9"/>
  <c r="J47" i="9" s="1"/>
  <c r="K47" i="9" s="1"/>
  <c r="L47" i="9" s="1"/>
  <c r="S47" i="9"/>
  <c r="P47" i="25"/>
  <c r="AQ47" i="25"/>
  <c r="F48" i="25" s="1"/>
  <c r="AN47" i="25"/>
  <c r="C48" i="25" s="1"/>
  <c r="AS47" i="25"/>
  <c r="H48" i="25" s="1"/>
  <c r="AJ47" i="25"/>
  <c r="J47" i="25"/>
  <c r="K47" i="25" s="1"/>
  <c r="L47" i="25" s="1"/>
  <c r="AT47" i="25"/>
  <c r="AU47" i="25" s="1"/>
  <c r="AM47" i="25"/>
  <c r="B48" i="25" s="1"/>
  <c r="AO44" i="23"/>
  <c r="AQ44" i="23" s="1"/>
  <c r="AI47" i="25"/>
  <c r="B59" i="1"/>
  <c r="Z47" i="29"/>
  <c r="AG47" i="29" s="1"/>
  <c r="B48" i="29"/>
  <c r="S46" i="24"/>
  <c r="I46" i="24"/>
  <c r="J46" i="24" s="1"/>
  <c r="K46" i="24" s="1"/>
  <c r="L46" i="24" s="1"/>
  <c r="BJ44" i="23"/>
  <c r="H45" i="23" s="1"/>
  <c r="Y45" i="23" s="1"/>
  <c r="BD44" i="23"/>
  <c r="BE44" i="23"/>
  <c r="C45" i="23" s="1"/>
  <c r="T45" i="23" s="1"/>
  <c r="BH44" i="23"/>
  <c r="F45" i="23" s="1"/>
  <c r="W45" i="23" s="1"/>
  <c r="AL45" i="24"/>
  <c r="BA45" i="24"/>
  <c r="AI45" i="24"/>
  <c r="BS45" i="24"/>
  <c r="BP45" i="24"/>
  <c r="BV45" i="24"/>
  <c r="BU45" i="24"/>
  <c r="AA45" i="24"/>
  <c r="AB45" i="24" s="1"/>
  <c r="AC45" i="24" s="1"/>
  <c r="AN45" i="24"/>
  <c r="AD45" i="24"/>
  <c r="BB45" i="24"/>
  <c r="W51" i="28"/>
  <c r="AN46" i="29"/>
  <c r="AO46" i="29"/>
  <c r="BK46" i="22"/>
  <c r="BL46" i="22"/>
  <c r="AA46" i="22"/>
  <c r="AB46" i="22" s="1"/>
  <c r="AC46" i="22" s="1"/>
  <c r="AD46" i="22"/>
  <c r="BA46" i="22"/>
  <c r="AN46" i="22"/>
  <c r="AL46" i="22"/>
  <c r="AI46" i="22"/>
  <c r="AL46" i="10"/>
  <c r="AI46" i="10"/>
  <c r="AD46" i="10"/>
  <c r="AN46" i="10"/>
  <c r="AH46" i="10"/>
  <c r="BK46" i="10"/>
  <c r="BA46" i="10"/>
  <c r="AT46" i="10"/>
  <c r="AA46" i="10"/>
  <c r="BL46" i="10"/>
  <c r="S47" i="22"/>
  <c r="I47" i="22"/>
  <c r="J47" i="22" s="1"/>
  <c r="K47" i="22" s="1"/>
  <c r="L47" i="22" s="1"/>
  <c r="Y46" i="7"/>
  <c r="S47" i="10"/>
  <c r="Z47" i="10" s="1"/>
  <c r="I47" i="10"/>
  <c r="J47" i="10" s="1"/>
  <c r="K47" i="10" s="1"/>
  <c r="L47" i="10" s="1"/>
  <c r="G57" i="1"/>
  <c r="BE44" i="20"/>
  <c r="C45" i="20" s="1"/>
  <c r="T45" i="20" s="1"/>
  <c r="BJ44" i="20"/>
  <c r="H45" i="20" s="1"/>
  <c r="Y45" i="20" s="1"/>
  <c r="BH44" i="20"/>
  <c r="F45" i="20" s="1"/>
  <c r="W45" i="20" s="1"/>
  <c r="BD44" i="20"/>
  <c r="C48" i="7"/>
  <c r="AI47" i="7"/>
  <c r="AJ47" i="7" s="1"/>
  <c r="AP48" i="12"/>
  <c r="AH45" i="24"/>
  <c r="H59" i="1"/>
  <c r="AO44" i="26"/>
  <c r="BD44" i="26"/>
  <c r="BJ44" i="26"/>
  <c r="H45" i="26" s="1"/>
  <c r="Y45" i="26" s="1"/>
  <c r="BH44" i="26"/>
  <c r="BE44" i="26"/>
  <c r="AQ45" i="10"/>
  <c r="D7" i="14"/>
  <c r="P47" i="7"/>
  <c r="V47" i="7"/>
  <c r="J47" i="7"/>
  <c r="K47" i="7" s="1"/>
  <c r="L47" i="7" s="1"/>
  <c r="T47" i="7"/>
  <c r="BO45" i="24"/>
  <c r="AO44" i="20"/>
  <c r="AP44" i="20"/>
  <c r="I48" i="19"/>
  <c r="T48" i="19" s="1"/>
  <c r="AG53" i="7"/>
  <c r="G54" i="7" s="1"/>
  <c r="AT49" i="12"/>
  <c r="B50" i="12" s="1"/>
  <c r="Z49" i="12"/>
  <c r="AH49" i="12" s="1"/>
  <c r="C51" i="21"/>
  <c r="T51" i="21" s="1"/>
  <c r="AX48" i="24"/>
  <c r="F49" i="24" s="1"/>
  <c r="I51" i="4"/>
  <c r="AG51" i="4" s="1"/>
  <c r="AA46" i="21"/>
  <c r="AB46" i="21" s="1"/>
  <c r="AC46" i="21" s="1"/>
  <c r="AD46" i="21"/>
  <c r="AM46" i="21"/>
  <c r="AH46" i="21"/>
  <c r="AK46" i="21"/>
  <c r="AV53" i="24"/>
  <c r="D54" i="24" s="1"/>
  <c r="U54" i="24" s="1"/>
  <c r="I53" i="28"/>
  <c r="B54" i="28"/>
  <c r="AV54" i="12"/>
  <c r="D55" i="12" s="1"/>
  <c r="U55" i="12" s="1"/>
  <c r="F51" i="21"/>
  <c r="W51" i="21" s="1"/>
  <c r="W47" i="19"/>
  <c r="Y47" i="19" s="1"/>
  <c r="G63" i="28"/>
  <c r="B10" i="14"/>
  <c r="AJ50" i="4"/>
  <c r="J50" i="4"/>
  <c r="K50" i="4" s="1"/>
  <c r="L50" i="4" s="1"/>
  <c r="AT50" i="4"/>
  <c r="AU50" i="4" s="1"/>
  <c r="D70" i="28"/>
  <c r="Q52" i="28"/>
  <c r="J52" i="28"/>
  <c r="K52" i="28" s="1"/>
  <c r="L52" i="28" s="1"/>
  <c r="V52" i="28"/>
  <c r="U52" i="28"/>
  <c r="AW54" i="12"/>
  <c r="E55" i="12" s="1"/>
  <c r="V55" i="12" s="1"/>
  <c r="AH54" i="7"/>
  <c r="H55" i="7" s="1"/>
  <c r="AB52" i="7"/>
  <c r="AW53" i="24"/>
  <c r="E54" i="24" s="1"/>
  <c r="V54" i="24" s="1"/>
  <c r="AC50" i="4"/>
  <c r="S47" i="21"/>
  <c r="I47" i="21"/>
  <c r="P50" i="4"/>
  <c r="T50" i="4"/>
  <c r="AY53" i="12"/>
  <c r="G54" i="12" s="1"/>
  <c r="X54" i="12" s="1"/>
  <c r="H51" i="21"/>
  <c r="Y51" i="21" s="1"/>
  <c r="H66" i="28"/>
  <c r="AZ54" i="12"/>
  <c r="H55" i="12" s="1"/>
  <c r="Y55" i="12" s="1"/>
  <c r="Q50" i="4"/>
  <c r="J49" i="12"/>
  <c r="K49" i="12" s="1"/>
  <c r="L49" i="12" s="1"/>
  <c r="AZ54" i="24"/>
  <c r="H55" i="24" s="1"/>
  <c r="Y55" i="24" s="1"/>
  <c r="AI51" i="4" l="1"/>
  <c r="Y49" i="4"/>
  <c r="AB46" i="10"/>
  <c r="AC46" i="10" s="1"/>
  <c r="AB46" i="9"/>
  <c r="AC46" i="9" s="1"/>
  <c r="AI47" i="10"/>
  <c r="AQ48" i="12"/>
  <c r="Q48" i="19"/>
  <c r="Y51" i="1"/>
  <c r="Y51" i="28"/>
  <c r="AO46" i="22"/>
  <c r="AO46" i="9"/>
  <c r="J53" i="1"/>
  <c r="K53" i="1" s="1"/>
  <c r="L53" i="1" s="1"/>
  <c r="U53" i="1"/>
  <c r="Q53" i="1"/>
  <c r="C13" i="14"/>
  <c r="P53" i="1"/>
  <c r="V53" i="1"/>
  <c r="X52" i="1"/>
  <c r="W52" i="1"/>
  <c r="D55" i="1"/>
  <c r="I54" i="1"/>
  <c r="AO46" i="21"/>
  <c r="AD48" i="19"/>
  <c r="AG48" i="19"/>
  <c r="AQ44" i="26"/>
  <c r="AI48" i="19"/>
  <c r="Q51" i="4"/>
  <c r="V48" i="19"/>
  <c r="T51" i="4"/>
  <c r="X47" i="25"/>
  <c r="W47" i="25"/>
  <c r="I48" i="25"/>
  <c r="AC48" i="25" s="1"/>
  <c r="Z47" i="9"/>
  <c r="AG47" i="9" s="1"/>
  <c r="B48" i="9"/>
  <c r="AN46" i="9"/>
  <c r="AP46" i="9" s="1"/>
  <c r="AC48" i="19"/>
  <c r="B45" i="26"/>
  <c r="BL44" i="26"/>
  <c r="AT46" i="24"/>
  <c r="B47" i="24" s="1"/>
  <c r="Z46" i="24"/>
  <c r="AH46" i="24" s="1"/>
  <c r="AA47" i="10"/>
  <c r="AB47" i="10" s="1"/>
  <c r="AC47" i="10" s="1"/>
  <c r="V51" i="4"/>
  <c r="P51" i="4"/>
  <c r="B45" i="20"/>
  <c r="BL44" i="20"/>
  <c r="Z47" i="22"/>
  <c r="AT47" i="22" s="1"/>
  <c r="B45" i="23"/>
  <c r="BL44" i="23"/>
  <c r="AC51" i="4"/>
  <c r="AT47" i="10"/>
  <c r="BK47" i="10"/>
  <c r="BJ47" i="10" s="1"/>
  <c r="H48" i="10" s="1"/>
  <c r="Y48" i="10" s="1"/>
  <c r="AD47" i="10"/>
  <c r="AN46" i="21"/>
  <c r="H60" i="1"/>
  <c r="AO46" i="10"/>
  <c r="AP46" i="10"/>
  <c r="AP46" i="29"/>
  <c r="S48" i="29"/>
  <c r="I48" i="29"/>
  <c r="J48" i="29" s="1"/>
  <c r="K48" i="29" s="1"/>
  <c r="L48" i="29" s="1"/>
  <c r="AC48" i="7"/>
  <c r="I48" i="7"/>
  <c r="Q48" i="7" s="1"/>
  <c r="AH47" i="10"/>
  <c r="AQ44" i="20"/>
  <c r="AP45" i="24"/>
  <c r="AO45" i="24"/>
  <c r="G58" i="1"/>
  <c r="AP46" i="22"/>
  <c r="AA47" i="29"/>
  <c r="AM47" i="29"/>
  <c r="AK47" i="29"/>
  <c r="AH47" i="29"/>
  <c r="AD47" i="29"/>
  <c r="B60" i="1"/>
  <c r="X52" i="28"/>
  <c r="P48" i="19"/>
  <c r="X48" i="19" s="1"/>
  <c r="E57" i="1"/>
  <c r="AL47" i="10"/>
  <c r="BA47" i="10"/>
  <c r="W47" i="7"/>
  <c r="X47" i="7"/>
  <c r="AN47" i="10"/>
  <c r="AZ55" i="12"/>
  <c r="H56" i="12" s="1"/>
  <c r="Y56" i="12" s="1"/>
  <c r="AY54" i="12"/>
  <c r="G55" i="12" s="1"/>
  <c r="X55" i="12" s="1"/>
  <c r="W50" i="4"/>
  <c r="X50" i="4"/>
  <c r="B48" i="21"/>
  <c r="Z47" i="21"/>
  <c r="AG47" i="21" s="1"/>
  <c r="AH55" i="7"/>
  <c r="H56" i="7" s="1"/>
  <c r="D71" i="28"/>
  <c r="G64" i="28"/>
  <c r="AV55" i="12"/>
  <c r="D56" i="12" s="1"/>
  <c r="U56" i="12" s="1"/>
  <c r="W52" i="28"/>
  <c r="AZ55" i="24"/>
  <c r="H56" i="24" s="1"/>
  <c r="Y56" i="24" s="1"/>
  <c r="I54" i="28"/>
  <c r="B55" i="28"/>
  <c r="AV54" i="24"/>
  <c r="D55" i="24" s="1"/>
  <c r="U55" i="24" s="1"/>
  <c r="W49" i="24"/>
  <c r="BA49" i="12"/>
  <c r="BB49" i="12"/>
  <c r="AA49" i="12"/>
  <c r="BV49" i="12"/>
  <c r="AD49" i="12"/>
  <c r="AI49" i="12"/>
  <c r="BP49" i="12"/>
  <c r="AN49" i="12"/>
  <c r="BU49" i="12"/>
  <c r="BS49" i="12"/>
  <c r="AL49" i="12"/>
  <c r="AG54" i="7"/>
  <c r="G55" i="7" s="1"/>
  <c r="B53" i="7"/>
  <c r="AW55" i="12"/>
  <c r="E56" i="12" s="1"/>
  <c r="V56" i="12" s="1"/>
  <c r="G52" i="21"/>
  <c r="X52" i="21" s="1"/>
  <c r="J53" i="28"/>
  <c r="K53" i="28" s="1"/>
  <c r="L53" i="28" s="1"/>
  <c r="Q53" i="28"/>
  <c r="V53" i="28"/>
  <c r="U53" i="28"/>
  <c r="BO49" i="12"/>
  <c r="H52" i="21"/>
  <c r="Y52" i="21" s="1"/>
  <c r="AW54" i="24"/>
  <c r="E55" i="24" s="1"/>
  <c r="V55" i="24" s="1"/>
  <c r="H67" i="28"/>
  <c r="J47" i="21"/>
  <c r="K47" i="21" s="1"/>
  <c r="L47" i="21" s="1"/>
  <c r="P53" i="28"/>
  <c r="J51" i="4"/>
  <c r="K51" i="4" s="1"/>
  <c r="L51" i="4" s="1"/>
  <c r="AJ51" i="4"/>
  <c r="AT51" i="4"/>
  <c r="B11" i="14"/>
  <c r="C52" i="21"/>
  <c r="T52" i="21" s="1"/>
  <c r="S50" i="12"/>
  <c r="I50" i="12"/>
  <c r="J50" i="12" s="1"/>
  <c r="K50" i="12" s="1"/>
  <c r="L50" i="12" s="1"/>
  <c r="AN48" i="19"/>
  <c r="C49" i="19" s="1"/>
  <c r="J48" i="19"/>
  <c r="K48" i="19" s="1"/>
  <c r="L48" i="19" s="1"/>
  <c r="AJ48" i="19"/>
  <c r="AS48" i="19"/>
  <c r="H49" i="19" s="1"/>
  <c r="AT48" i="19"/>
  <c r="AU48" i="19" s="1"/>
  <c r="AQ48" i="19"/>
  <c r="F49" i="19" s="1"/>
  <c r="AM48" i="19"/>
  <c r="B49" i="19" s="1"/>
  <c r="P54" i="28" l="1"/>
  <c r="AB49" i="12"/>
  <c r="AC49" i="12" s="1"/>
  <c r="AB47" i="29"/>
  <c r="AC47" i="29" s="1"/>
  <c r="AQ46" i="22"/>
  <c r="BH47" i="10"/>
  <c r="F48" i="10" s="1"/>
  <c r="W48" i="10" s="1"/>
  <c r="BH48" i="10" s="1"/>
  <c r="F49" i="10" s="1"/>
  <c r="W49" i="10" s="1"/>
  <c r="Y52" i="28"/>
  <c r="BE47" i="10"/>
  <c r="C48" i="10" s="1"/>
  <c r="T48" i="10" s="1"/>
  <c r="BE48" i="10" s="1"/>
  <c r="C49" i="10" s="1"/>
  <c r="T49" i="10" s="1"/>
  <c r="AO47" i="10"/>
  <c r="Y47" i="7"/>
  <c r="BO46" i="24"/>
  <c r="C14" i="14"/>
  <c r="V54" i="1"/>
  <c r="J54" i="1"/>
  <c r="K54" i="1" s="1"/>
  <c r="L54" i="1" s="1"/>
  <c r="R54" i="1"/>
  <c r="P54" i="1"/>
  <c r="S54" i="1"/>
  <c r="U54" i="1"/>
  <c r="BD47" i="10"/>
  <c r="B48" i="10" s="1"/>
  <c r="D56" i="1"/>
  <c r="I55" i="1"/>
  <c r="W53" i="1"/>
  <c r="X53" i="1"/>
  <c r="AP46" i="21"/>
  <c r="Y47" i="25"/>
  <c r="Y52" i="1"/>
  <c r="AP47" i="10"/>
  <c r="T48" i="25"/>
  <c r="AT48" i="25"/>
  <c r="AU48" i="25" s="1"/>
  <c r="AN48" i="25"/>
  <c r="C49" i="25" s="1"/>
  <c r="AM48" i="25"/>
  <c r="B49" i="25" s="1"/>
  <c r="AQ48" i="25"/>
  <c r="F49" i="25" s="1"/>
  <c r="AJ48" i="25"/>
  <c r="J48" i="25"/>
  <c r="K48" i="25" s="1"/>
  <c r="L48" i="25" s="1"/>
  <c r="AS48" i="25"/>
  <c r="H49" i="25" s="1"/>
  <c r="AI48" i="25"/>
  <c r="V48" i="25"/>
  <c r="AG48" i="25"/>
  <c r="S48" i="9"/>
  <c r="I48" i="9"/>
  <c r="J48" i="9" s="1"/>
  <c r="K48" i="9" s="1"/>
  <c r="L48" i="9" s="1"/>
  <c r="AN47" i="29"/>
  <c r="AM47" i="9"/>
  <c r="AH47" i="9"/>
  <c r="AD47" i="9"/>
  <c r="AA47" i="9"/>
  <c r="AK47" i="9"/>
  <c r="Q48" i="25"/>
  <c r="AO49" i="12"/>
  <c r="W48" i="19"/>
  <c r="W51" i="4"/>
  <c r="P48" i="25"/>
  <c r="AD48" i="25"/>
  <c r="AQ45" i="24"/>
  <c r="AQ46" i="10"/>
  <c r="AO47" i="29"/>
  <c r="S45" i="20"/>
  <c r="I45" i="20"/>
  <c r="S45" i="26"/>
  <c r="I45" i="26"/>
  <c r="X51" i="4"/>
  <c r="T48" i="7"/>
  <c r="V48" i="7"/>
  <c r="D8" i="14"/>
  <c r="J48" i="7"/>
  <c r="K48" i="7" s="1"/>
  <c r="L48" i="7" s="1"/>
  <c r="P48" i="7"/>
  <c r="B61" i="1"/>
  <c r="H61" i="1"/>
  <c r="C49" i="7"/>
  <c r="AI48" i="7"/>
  <c r="AJ48" i="7" s="1"/>
  <c r="I45" i="23"/>
  <c r="S45" i="23"/>
  <c r="E58" i="1"/>
  <c r="AL46" i="24"/>
  <c r="BV46" i="24"/>
  <c r="AN46" i="24"/>
  <c r="BS46" i="24"/>
  <c r="BB46" i="24"/>
  <c r="BA46" i="24"/>
  <c r="AA46" i="24"/>
  <c r="AB46" i="24" s="1"/>
  <c r="AC46" i="24" s="1"/>
  <c r="AD46" i="24"/>
  <c r="AI46" i="24"/>
  <c r="BU46" i="24"/>
  <c r="BP46" i="24"/>
  <c r="G59" i="1"/>
  <c r="AA47" i="22"/>
  <c r="AB47" i="22" s="1"/>
  <c r="AC47" i="22" s="1"/>
  <c r="BA47" i="22"/>
  <c r="AD47" i="22"/>
  <c r="BK47" i="22"/>
  <c r="AL47" i="22"/>
  <c r="AI47" i="22"/>
  <c r="AN47" i="22"/>
  <c r="Z48" i="29"/>
  <c r="AG48" i="29" s="1"/>
  <c r="B49" i="29"/>
  <c r="AH47" i="22"/>
  <c r="S47" i="24"/>
  <c r="I47" i="24"/>
  <c r="J47" i="24" s="1"/>
  <c r="K47" i="24" s="1"/>
  <c r="L47" i="24" s="1"/>
  <c r="C53" i="21"/>
  <c r="T53" i="21" s="1"/>
  <c r="AN51" i="4"/>
  <c r="C52" i="4" s="1"/>
  <c r="AQ51" i="4"/>
  <c r="G52" i="4" s="1"/>
  <c r="AS51" i="4"/>
  <c r="H52" i="4" s="1"/>
  <c r="AU51" i="4"/>
  <c r="AM51" i="4"/>
  <c r="B52" i="4" s="1"/>
  <c r="AG55" i="7"/>
  <c r="G56" i="7" s="1"/>
  <c r="AX49" i="24"/>
  <c r="F50" i="24" s="1"/>
  <c r="AV55" i="24"/>
  <c r="D56" i="24" s="1"/>
  <c r="U56" i="24" s="1"/>
  <c r="AB53" i="7"/>
  <c r="S54" i="28"/>
  <c r="J54" i="28"/>
  <c r="K54" i="28" s="1"/>
  <c r="L54" i="28" s="1"/>
  <c r="R54" i="28"/>
  <c r="V54" i="28"/>
  <c r="U54" i="28"/>
  <c r="AV56" i="12"/>
  <c r="D57" i="12" s="1"/>
  <c r="U57" i="12" s="1"/>
  <c r="D72" i="28"/>
  <c r="AA47" i="21"/>
  <c r="AB47" i="21" s="1"/>
  <c r="AC47" i="21" s="1"/>
  <c r="AD47" i="21"/>
  <c r="AH47" i="21"/>
  <c r="AK47" i="21"/>
  <c r="AM47" i="21"/>
  <c r="AY55" i="12"/>
  <c r="G56" i="12" s="1"/>
  <c r="X56" i="12" s="1"/>
  <c r="BJ48" i="10"/>
  <c r="H49" i="10" s="1"/>
  <c r="Y49" i="10" s="1"/>
  <c r="AZ56" i="12"/>
  <c r="H57" i="12" s="1"/>
  <c r="Y57" i="12" s="1"/>
  <c r="I49" i="19"/>
  <c r="AD49" i="19" s="1"/>
  <c r="Z50" i="12"/>
  <c r="AT50" i="12"/>
  <c r="B51" i="12" s="1"/>
  <c r="H53" i="21"/>
  <c r="Y53" i="21" s="1"/>
  <c r="AW56" i="12"/>
  <c r="E57" i="12" s="1"/>
  <c r="V57" i="12" s="1"/>
  <c r="S48" i="21"/>
  <c r="I48" i="21"/>
  <c r="J48" i="21" s="1"/>
  <c r="K48" i="21" s="1"/>
  <c r="L48" i="21" s="1"/>
  <c r="Y50" i="4"/>
  <c r="AP49" i="12"/>
  <c r="H68" i="28"/>
  <c r="X53" i="28"/>
  <c r="W53" i="28"/>
  <c r="AW55" i="24"/>
  <c r="E56" i="24" s="1"/>
  <c r="V56" i="24" s="1"/>
  <c r="G53" i="21"/>
  <c r="X53" i="21" s="1"/>
  <c r="I55" i="28"/>
  <c r="P55" i="28" s="1"/>
  <c r="B56" i="28"/>
  <c r="Y48" i="19"/>
  <c r="G65" i="28"/>
  <c r="AH56" i="7"/>
  <c r="H57" i="7" s="1"/>
  <c r="E54" i="21" l="1"/>
  <c r="D54" i="21"/>
  <c r="U54" i="21" s="1"/>
  <c r="J45" i="20"/>
  <c r="K45" i="20" s="1"/>
  <c r="L45" i="20" s="1"/>
  <c r="AB47" i="9"/>
  <c r="AC47" i="9" s="1"/>
  <c r="J45" i="26"/>
  <c r="K45" i="26" s="1"/>
  <c r="L45" i="26" s="1"/>
  <c r="J45" i="23"/>
  <c r="K45" i="23" s="1"/>
  <c r="L45" i="23" s="1"/>
  <c r="AQ47" i="10"/>
  <c r="BL47" i="10"/>
  <c r="AO47" i="21"/>
  <c r="Y53" i="1"/>
  <c r="S55" i="1"/>
  <c r="P55" i="1"/>
  <c r="R55" i="1"/>
  <c r="C15" i="14"/>
  <c r="V55" i="1"/>
  <c r="J55" i="1"/>
  <c r="K55" i="1" s="1"/>
  <c r="L55" i="1" s="1"/>
  <c r="U55" i="1"/>
  <c r="AP47" i="29"/>
  <c r="AO47" i="9"/>
  <c r="D57" i="1"/>
  <c r="I56" i="1"/>
  <c r="W54" i="1"/>
  <c r="X54" i="1"/>
  <c r="B49" i="9"/>
  <c r="Z48" i="9"/>
  <c r="AG48" i="9" s="1"/>
  <c r="AQ49" i="12"/>
  <c r="Y51" i="4"/>
  <c r="AN47" i="9"/>
  <c r="I49" i="25"/>
  <c r="T49" i="25" s="1"/>
  <c r="X48" i="25"/>
  <c r="W48" i="25"/>
  <c r="Y53" i="28"/>
  <c r="X54" i="28"/>
  <c r="AO46" i="24"/>
  <c r="Z45" i="26"/>
  <c r="AH45" i="26" s="1"/>
  <c r="W54" i="28"/>
  <c r="AT47" i="24"/>
  <c r="B48" i="24" s="1"/>
  <c r="Z47" i="24"/>
  <c r="BO47" i="24" s="1"/>
  <c r="H62" i="1"/>
  <c r="Z45" i="20"/>
  <c r="AT45" i="20" s="1"/>
  <c r="AC49" i="7"/>
  <c r="I49" i="7"/>
  <c r="Q49" i="7" s="1"/>
  <c r="AO47" i="22"/>
  <c r="AP47" i="22"/>
  <c r="E59" i="1"/>
  <c r="Z45" i="23"/>
  <c r="I49" i="29"/>
  <c r="J49" i="29" s="1"/>
  <c r="K49" i="29" s="1"/>
  <c r="L49" i="29" s="1"/>
  <c r="S49" i="29"/>
  <c r="G60" i="1"/>
  <c r="B62" i="1"/>
  <c r="AM48" i="29"/>
  <c r="AH48" i="29"/>
  <c r="AA48" i="29"/>
  <c r="AB48" i="29" s="1"/>
  <c r="AC48" i="29" s="1"/>
  <c r="AK48" i="29"/>
  <c r="AD48" i="29"/>
  <c r="AP46" i="24"/>
  <c r="T49" i="19"/>
  <c r="V49" i="19"/>
  <c r="BH47" i="22"/>
  <c r="F48" i="22" s="1"/>
  <c r="W48" i="22" s="1"/>
  <c r="BE47" i="22"/>
  <c r="C48" i="22" s="1"/>
  <c r="T48" i="22" s="1"/>
  <c r="BD47" i="22"/>
  <c r="BJ47" i="22"/>
  <c r="H48" i="22" s="1"/>
  <c r="Y48" i="22" s="1"/>
  <c r="AG49" i="19"/>
  <c r="AC49" i="19"/>
  <c r="Q49" i="19"/>
  <c r="W48" i="7"/>
  <c r="X48" i="7"/>
  <c r="G54" i="21"/>
  <c r="X54" i="21" s="1"/>
  <c r="AD50" i="12"/>
  <c r="BA50" i="12"/>
  <c r="AA50" i="12"/>
  <c r="AB50" i="12" s="1"/>
  <c r="AC50" i="12" s="1"/>
  <c r="BB50" i="12"/>
  <c r="BV50" i="12"/>
  <c r="BP50" i="12"/>
  <c r="AI50" i="12"/>
  <c r="BU50" i="12"/>
  <c r="AN50" i="12"/>
  <c r="BS50" i="12"/>
  <c r="AL50" i="12"/>
  <c r="J55" i="28"/>
  <c r="K55" i="28" s="1"/>
  <c r="L55" i="28" s="1"/>
  <c r="S55" i="28"/>
  <c r="R55" i="28"/>
  <c r="V55" i="28"/>
  <c r="U55" i="28"/>
  <c r="W50" i="24"/>
  <c r="I52" i="4"/>
  <c r="AI52" i="4" s="1"/>
  <c r="AM52" i="4"/>
  <c r="B53" i="4" s="1"/>
  <c r="AN52" i="4"/>
  <c r="C53" i="4" s="1"/>
  <c r="H54" i="21"/>
  <c r="Y54" i="21" s="1"/>
  <c r="AY56" i="12"/>
  <c r="G57" i="12" s="1"/>
  <c r="X57" i="12" s="1"/>
  <c r="BJ49" i="10"/>
  <c r="H50" i="10" s="1"/>
  <c r="Y50" i="10" s="1"/>
  <c r="BH49" i="10"/>
  <c r="F50" i="10" s="1"/>
  <c r="W50" i="10" s="1"/>
  <c r="I51" i="12"/>
  <c r="J51" i="12" s="1"/>
  <c r="K51" i="12" s="1"/>
  <c r="L51" i="12" s="1"/>
  <c r="S51" i="12"/>
  <c r="AS49" i="19"/>
  <c r="H50" i="19" s="1"/>
  <c r="AJ49" i="19"/>
  <c r="AM49" i="19"/>
  <c r="B50" i="19" s="1"/>
  <c r="J49" i="19"/>
  <c r="K49" i="19" s="1"/>
  <c r="L49" i="19" s="1"/>
  <c r="AQ49" i="19"/>
  <c r="F50" i="19" s="1"/>
  <c r="AT49" i="19"/>
  <c r="AU49" i="19" s="1"/>
  <c r="AN49" i="19"/>
  <c r="C50" i="19" s="1"/>
  <c r="D73" i="28"/>
  <c r="S48" i="10"/>
  <c r="I48" i="10"/>
  <c r="AN47" i="21"/>
  <c r="AP47" i="21" s="1"/>
  <c r="B54" i="7"/>
  <c r="AR52" i="4"/>
  <c r="G53" i="4" s="1"/>
  <c r="B49" i="21"/>
  <c r="Z48" i="21"/>
  <c r="AG48" i="21" s="1"/>
  <c r="BO50" i="12"/>
  <c r="BE49" i="10"/>
  <c r="C50" i="10" s="1"/>
  <c r="T50" i="10" s="1"/>
  <c r="G66" i="28"/>
  <c r="I56" i="28"/>
  <c r="B57" i="28"/>
  <c r="H69" i="28"/>
  <c r="AH50" i="12"/>
  <c r="P49" i="19"/>
  <c r="AI49" i="19"/>
  <c r="AG56" i="7"/>
  <c r="G57" i="7" s="1"/>
  <c r="AS52" i="4"/>
  <c r="H53" i="4" s="1"/>
  <c r="V54" i="21"/>
  <c r="AT45" i="23" l="1"/>
  <c r="AU45" i="23"/>
  <c r="AD52" i="4"/>
  <c r="AH52" i="4"/>
  <c r="D74" i="28"/>
  <c r="P56" i="28"/>
  <c r="AC52" i="4"/>
  <c r="AD49" i="25"/>
  <c r="Q49" i="25"/>
  <c r="AC49" i="25"/>
  <c r="V52" i="4"/>
  <c r="AQ46" i="24"/>
  <c r="AH45" i="20"/>
  <c r="AP47" i="9"/>
  <c r="I57" i="1"/>
  <c r="R57" i="1" s="1"/>
  <c r="D58" i="1"/>
  <c r="Y54" i="1"/>
  <c r="X55" i="1"/>
  <c r="W55" i="1"/>
  <c r="Y54" i="28"/>
  <c r="C16" i="14"/>
  <c r="J56" i="1"/>
  <c r="K56" i="1" s="1"/>
  <c r="L56" i="1" s="1"/>
  <c r="U56" i="1"/>
  <c r="P56" i="1"/>
  <c r="V56" i="1"/>
  <c r="R56" i="1"/>
  <c r="S56" i="1"/>
  <c r="Y48" i="7"/>
  <c r="W55" i="28"/>
  <c r="AH45" i="23"/>
  <c r="AG49" i="25"/>
  <c r="Y48" i="25"/>
  <c r="AK48" i="9"/>
  <c r="AH48" i="9"/>
  <c r="AA48" i="9"/>
  <c r="AB48" i="9" s="1"/>
  <c r="AC48" i="9" s="1"/>
  <c r="AD48" i="9"/>
  <c r="AM48" i="9"/>
  <c r="X55" i="28"/>
  <c r="AN48" i="29"/>
  <c r="P49" i="25"/>
  <c r="AJ49" i="25"/>
  <c r="AN49" i="25"/>
  <c r="C50" i="25" s="1"/>
  <c r="AM49" i="25"/>
  <c r="B50" i="25" s="1"/>
  <c r="AT49" i="25"/>
  <c r="AU49" i="25" s="1"/>
  <c r="AS49" i="25"/>
  <c r="H50" i="25" s="1"/>
  <c r="J49" i="25"/>
  <c r="K49" i="25" s="1"/>
  <c r="L49" i="25" s="1"/>
  <c r="AQ49" i="25"/>
  <c r="F50" i="25" s="1"/>
  <c r="I49" i="9"/>
  <c r="J49" i="9" s="1"/>
  <c r="K49" i="9" s="1"/>
  <c r="L49" i="9" s="1"/>
  <c r="S49" i="9"/>
  <c r="AI49" i="25"/>
  <c r="AH47" i="24"/>
  <c r="V49" i="25"/>
  <c r="BH48" i="22"/>
  <c r="F49" i="22" s="1"/>
  <c r="W49" i="22" s="1"/>
  <c r="Z49" i="29"/>
  <c r="AG49" i="29" s="1"/>
  <c r="B50" i="29"/>
  <c r="AQ47" i="22"/>
  <c r="AT45" i="26"/>
  <c r="BE48" i="22"/>
  <c r="C49" i="22" s="1"/>
  <c r="T49" i="22" s="1"/>
  <c r="G61" i="1"/>
  <c r="H63" i="1"/>
  <c r="Q52" i="4"/>
  <c r="C50" i="7"/>
  <c r="AI49" i="7"/>
  <c r="AJ49" i="7" s="1"/>
  <c r="AX45" i="26"/>
  <c r="BA45" i="26"/>
  <c r="AI45" i="26"/>
  <c r="AU45" i="26"/>
  <c r="BK45" i="26"/>
  <c r="AL45" i="26"/>
  <c r="AA45" i="26"/>
  <c r="AD45" i="26"/>
  <c r="AZ45" i="26"/>
  <c r="AN45" i="26"/>
  <c r="U52" i="4"/>
  <c r="AN45" i="23"/>
  <c r="AI45" i="23"/>
  <c r="AD45" i="23"/>
  <c r="BK45" i="23"/>
  <c r="AA45" i="23"/>
  <c r="BA45" i="23"/>
  <c r="AL45" i="23"/>
  <c r="AX45" i="23"/>
  <c r="D9" i="14"/>
  <c r="J49" i="7"/>
  <c r="K49" i="7" s="1"/>
  <c r="L49" i="7" s="1"/>
  <c r="P49" i="7"/>
  <c r="T49" i="7"/>
  <c r="V49" i="7"/>
  <c r="BJ48" i="22"/>
  <c r="H49" i="22" s="1"/>
  <c r="Y49" i="22" s="1"/>
  <c r="E60" i="1"/>
  <c r="AI47" i="24"/>
  <c r="AA47" i="24"/>
  <c r="AB47" i="24" s="1"/>
  <c r="AC47" i="24" s="1"/>
  <c r="AN47" i="24"/>
  <c r="BA47" i="24"/>
  <c r="BB47" i="24"/>
  <c r="BV47" i="24"/>
  <c r="AD47" i="24"/>
  <c r="BP47" i="24"/>
  <c r="AL47" i="24"/>
  <c r="BU47" i="24"/>
  <c r="BS47" i="24"/>
  <c r="AO48" i="29"/>
  <c r="B48" i="22"/>
  <c r="BL47" i="22"/>
  <c r="B63" i="1"/>
  <c r="BK45" i="20"/>
  <c r="AA45" i="20"/>
  <c r="AD45" i="20"/>
  <c r="BA45" i="20"/>
  <c r="AL45" i="20"/>
  <c r="AU45" i="20"/>
  <c r="AZ45" i="20"/>
  <c r="AI45" i="20"/>
  <c r="AN45" i="20"/>
  <c r="AX45" i="20"/>
  <c r="S48" i="24"/>
  <c r="I48" i="24"/>
  <c r="J48" i="24" s="1"/>
  <c r="K48" i="24" s="1"/>
  <c r="L48" i="24" s="1"/>
  <c r="AO50" i="12"/>
  <c r="AP50" i="12"/>
  <c r="S49" i="21"/>
  <c r="I49" i="21"/>
  <c r="J49" i="21" s="1"/>
  <c r="K49" i="21" s="1"/>
  <c r="L49" i="21" s="1"/>
  <c r="Z51" i="12"/>
  <c r="BO51" i="12" s="1"/>
  <c r="AT51" i="12"/>
  <c r="B52" i="12" s="1"/>
  <c r="BJ50" i="10"/>
  <c r="H51" i="10" s="1"/>
  <c r="Y51" i="10" s="1"/>
  <c r="J48" i="10"/>
  <c r="K48" i="10" s="1"/>
  <c r="L48" i="10" s="1"/>
  <c r="I50" i="19"/>
  <c r="AG50" i="19" s="1"/>
  <c r="B12" i="14"/>
  <c r="J52" i="4"/>
  <c r="K52" i="4" s="1"/>
  <c r="L52" i="4" s="1"/>
  <c r="AT52" i="4"/>
  <c r="AU52" i="4" s="1"/>
  <c r="AJ52" i="4"/>
  <c r="J56" i="28"/>
  <c r="K56" i="28" s="1"/>
  <c r="L56" i="28" s="1"/>
  <c r="R56" i="28"/>
  <c r="S56" i="28"/>
  <c r="V56" i="28"/>
  <c r="U56" i="28"/>
  <c r="BE50" i="10"/>
  <c r="C51" i="10" s="1"/>
  <c r="T51" i="10" s="1"/>
  <c r="Z48" i="10"/>
  <c r="AH48" i="10" s="1"/>
  <c r="BD48" i="10"/>
  <c r="B49" i="10" s="1"/>
  <c r="P52" i="4"/>
  <c r="G55" i="21"/>
  <c r="X55" i="21" s="1"/>
  <c r="E55" i="21"/>
  <c r="V55" i="21" s="1"/>
  <c r="D55" i="21"/>
  <c r="U55" i="21" s="1"/>
  <c r="X49" i="19"/>
  <c r="W49" i="19"/>
  <c r="H70" i="28"/>
  <c r="B58" i="28"/>
  <c r="I57" i="28"/>
  <c r="P57" i="28" s="1"/>
  <c r="G67" i="28"/>
  <c r="AA48" i="21"/>
  <c r="AB48" i="21" s="1"/>
  <c r="AC48" i="21" s="1"/>
  <c r="AD48" i="21"/>
  <c r="AH48" i="21"/>
  <c r="AM48" i="21"/>
  <c r="AK48" i="21"/>
  <c r="AB54" i="7"/>
  <c r="BH50" i="10"/>
  <c r="F51" i="10" s="1"/>
  <c r="W51" i="10" s="1"/>
  <c r="H55" i="21"/>
  <c r="Y55" i="21" s="1"/>
  <c r="I53" i="4"/>
  <c r="U53" i="4" s="1"/>
  <c r="AX50" i="24"/>
  <c r="G51" i="24" s="1"/>
  <c r="AI53" i="4" l="1"/>
  <c r="AD53" i="4"/>
  <c r="AH53" i="4"/>
  <c r="D75" i="28"/>
  <c r="AB45" i="20"/>
  <c r="AC45" i="20" s="1"/>
  <c r="AB45" i="26"/>
  <c r="AC45" i="26" s="1"/>
  <c r="AB45" i="23"/>
  <c r="AC45" i="23" s="1"/>
  <c r="AP48" i="29"/>
  <c r="AC53" i="4"/>
  <c r="AH51" i="12"/>
  <c r="W56" i="1"/>
  <c r="X56" i="1"/>
  <c r="AI50" i="19"/>
  <c r="I58" i="1"/>
  <c r="D59" i="1"/>
  <c r="T50" i="19"/>
  <c r="AP45" i="23"/>
  <c r="Y55" i="28"/>
  <c r="AO48" i="9"/>
  <c r="Y55" i="1"/>
  <c r="S57" i="1"/>
  <c r="P57" i="1"/>
  <c r="V57" i="1"/>
  <c r="C17" i="14"/>
  <c r="U57" i="1"/>
  <c r="J57" i="1"/>
  <c r="K57" i="1" s="1"/>
  <c r="L57" i="1" s="1"/>
  <c r="AP47" i="24"/>
  <c r="X56" i="28"/>
  <c r="P53" i="4"/>
  <c r="AP45" i="26"/>
  <c r="I50" i="25"/>
  <c r="V50" i="25" s="1"/>
  <c r="AO48" i="21"/>
  <c r="AO45" i="20"/>
  <c r="AO45" i="23"/>
  <c r="Y49" i="19"/>
  <c r="Q53" i="4"/>
  <c r="Z49" i="9"/>
  <c r="AG49" i="9" s="1"/>
  <c r="B50" i="9"/>
  <c r="W49" i="25"/>
  <c r="X49" i="25"/>
  <c r="AN48" i="9"/>
  <c r="AT48" i="24"/>
  <c r="B49" i="24" s="1"/>
  <c r="Z48" i="24"/>
  <c r="AH48" i="24" s="1"/>
  <c r="BE49" i="22"/>
  <c r="C50" i="22" s="1"/>
  <c r="T50" i="22" s="1"/>
  <c r="BE50" i="22" s="1"/>
  <c r="C51" i="22" s="1"/>
  <c r="T51" i="22" s="1"/>
  <c r="S48" i="22"/>
  <c r="I48" i="22"/>
  <c r="J48" i="22" s="1"/>
  <c r="K48" i="22" s="1"/>
  <c r="L48" i="22" s="1"/>
  <c r="BD45" i="26"/>
  <c r="BJ45" i="26"/>
  <c r="H46" i="26" s="1"/>
  <c r="Y46" i="26" s="1"/>
  <c r="BE45" i="26"/>
  <c r="BH45" i="26"/>
  <c r="AC50" i="7"/>
  <c r="I50" i="7"/>
  <c r="Q50" i="7" s="1"/>
  <c r="BH49" i="22"/>
  <c r="F50" i="22" s="1"/>
  <c r="W50" i="22" s="1"/>
  <c r="BH50" i="22" s="1"/>
  <c r="F51" i="22" s="1"/>
  <c r="W51" i="22" s="1"/>
  <c r="H64" i="1"/>
  <c r="AP45" i="20"/>
  <c r="G62" i="1"/>
  <c r="S50" i="29"/>
  <c r="I50" i="29"/>
  <c r="J50" i="29" s="1"/>
  <c r="K50" i="29" s="1"/>
  <c r="L50" i="29" s="1"/>
  <c r="AO45" i="26"/>
  <c r="BD45" i="20"/>
  <c r="BJ45" i="20"/>
  <c r="H46" i="20" s="1"/>
  <c r="Y46" i="20" s="1"/>
  <c r="BE45" i="20"/>
  <c r="C46" i="20" s="1"/>
  <c r="T46" i="20" s="1"/>
  <c r="BH45" i="20"/>
  <c r="F46" i="20" s="1"/>
  <c r="W46" i="20" s="1"/>
  <c r="E61" i="1"/>
  <c r="X49" i="7"/>
  <c r="W49" i="7"/>
  <c r="AO47" i="24"/>
  <c r="AQ47" i="24" s="1"/>
  <c r="AK49" i="29"/>
  <c r="AD49" i="29"/>
  <c r="AM49" i="29"/>
  <c r="AH49" i="29"/>
  <c r="AA49" i="29"/>
  <c r="AB49" i="29" s="1"/>
  <c r="AC49" i="29" s="1"/>
  <c r="BJ49" i="22"/>
  <c r="H50" i="22" s="1"/>
  <c r="Y50" i="22" s="1"/>
  <c r="BJ50" i="22" s="1"/>
  <c r="H51" i="22" s="1"/>
  <c r="Y51" i="22" s="1"/>
  <c r="B64" i="1"/>
  <c r="BJ45" i="23"/>
  <c r="H46" i="23" s="1"/>
  <c r="Y46" i="23" s="1"/>
  <c r="BE45" i="23"/>
  <c r="C46" i="23" s="1"/>
  <c r="T46" i="23" s="1"/>
  <c r="BH45" i="23"/>
  <c r="F46" i="23" s="1"/>
  <c r="W46" i="23" s="1"/>
  <c r="BD45" i="23"/>
  <c r="G68" i="28"/>
  <c r="H71" i="28"/>
  <c r="AN48" i="21"/>
  <c r="AM50" i="19"/>
  <c r="B51" i="19" s="1"/>
  <c r="AT50" i="19"/>
  <c r="AU50" i="19" s="1"/>
  <c r="AS50" i="19"/>
  <c r="H51" i="19" s="1"/>
  <c r="AJ50" i="19"/>
  <c r="AQ50" i="19"/>
  <c r="F51" i="19" s="1"/>
  <c r="J50" i="19"/>
  <c r="K50" i="19" s="1"/>
  <c r="L50" i="19" s="1"/>
  <c r="AN50" i="19"/>
  <c r="C51" i="19" s="1"/>
  <c r="Q50" i="19"/>
  <c r="S52" i="12"/>
  <c r="I52" i="12"/>
  <c r="J52" i="12" s="1"/>
  <c r="K52" i="12" s="1"/>
  <c r="L52" i="12" s="1"/>
  <c r="W56" i="28"/>
  <c r="X51" i="24"/>
  <c r="B55" i="7"/>
  <c r="D56" i="21"/>
  <c r="U56" i="21" s="1"/>
  <c r="AA48" i="10"/>
  <c r="BA48" i="10"/>
  <c r="BL48" i="10"/>
  <c r="BK48" i="10"/>
  <c r="AD48" i="10"/>
  <c r="AN48" i="10"/>
  <c r="AL48" i="10"/>
  <c r="AI48" i="10"/>
  <c r="AC50" i="19"/>
  <c r="H56" i="21"/>
  <c r="Y56" i="21" s="1"/>
  <c r="R57" i="28"/>
  <c r="J57" i="28"/>
  <c r="K57" i="28" s="1"/>
  <c r="L57" i="28" s="1"/>
  <c r="S57" i="28"/>
  <c r="V57" i="28"/>
  <c r="U57" i="28"/>
  <c r="W52" i="4"/>
  <c r="X52" i="4"/>
  <c r="S49" i="10"/>
  <c r="I49" i="10"/>
  <c r="J49" i="10" s="1"/>
  <c r="K49" i="10" s="1"/>
  <c r="L49" i="10" s="1"/>
  <c r="P50" i="19"/>
  <c r="B13" i="14"/>
  <c r="AT53" i="4"/>
  <c r="J53" i="4"/>
  <c r="K53" i="4" s="1"/>
  <c r="L53" i="4" s="1"/>
  <c r="AJ53" i="4"/>
  <c r="V50" i="19"/>
  <c r="I58" i="28"/>
  <c r="P58" i="28" s="1"/>
  <c r="B59" i="28"/>
  <c r="E56" i="21"/>
  <c r="V56" i="21" s="1"/>
  <c r="G56" i="21"/>
  <c r="X56" i="21" s="1"/>
  <c r="AT48" i="10"/>
  <c r="AD50" i="19"/>
  <c r="V53" i="4"/>
  <c r="BB51" i="12"/>
  <c r="BA51" i="12"/>
  <c r="BV51" i="12"/>
  <c r="AD51" i="12"/>
  <c r="AA51" i="12"/>
  <c r="AB51" i="12" s="1"/>
  <c r="AC51" i="12" s="1"/>
  <c r="AI51" i="12"/>
  <c r="BP51" i="12"/>
  <c r="AN51" i="12"/>
  <c r="BU51" i="12"/>
  <c r="AL51" i="12"/>
  <c r="BS51" i="12"/>
  <c r="B50" i="21"/>
  <c r="Z49" i="21"/>
  <c r="AG49" i="21" s="1"/>
  <c r="AQ50" i="12"/>
  <c r="D76" i="28" l="1"/>
  <c r="AB48" i="10"/>
  <c r="AC48" i="10" s="1"/>
  <c r="AP48" i="9"/>
  <c r="X53" i="4"/>
  <c r="AQ45" i="23"/>
  <c r="AQ45" i="20"/>
  <c r="W53" i="4"/>
  <c r="Y56" i="28"/>
  <c r="AP48" i="21"/>
  <c r="W57" i="1"/>
  <c r="X57" i="1"/>
  <c r="R58" i="1"/>
  <c r="J58" i="1"/>
  <c r="K58" i="1" s="1"/>
  <c r="L58" i="1" s="1"/>
  <c r="U58" i="1"/>
  <c r="S58" i="1"/>
  <c r="V58" i="1"/>
  <c r="C18" i="14"/>
  <c r="P58" i="1"/>
  <c r="AQ45" i="26"/>
  <c r="I59" i="1"/>
  <c r="D60" i="1"/>
  <c r="Y56" i="1"/>
  <c r="Y49" i="7"/>
  <c r="AO49" i="29"/>
  <c r="S50" i="9"/>
  <c r="I50" i="9"/>
  <c r="J50" i="9" s="1"/>
  <c r="K50" i="9" s="1"/>
  <c r="L50" i="9" s="1"/>
  <c r="P50" i="25"/>
  <c r="AK49" i="9"/>
  <c r="AD49" i="9"/>
  <c r="AM49" i="9"/>
  <c r="AA49" i="9"/>
  <c r="AB49" i="9" s="1"/>
  <c r="AC49" i="9" s="1"/>
  <c r="AH49" i="9"/>
  <c r="AG50" i="25"/>
  <c r="AC50" i="25"/>
  <c r="W57" i="28"/>
  <c r="T50" i="25"/>
  <c r="AD50" i="25"/>
  <c r="Q50" i="25"/>
  <c r="AN50" i="25"/>
  <c r="C51" i="25" s="1"/>
  <c r="AT50" i="25"/>
  <c r="AU50" i="25" s="1"/>
  <c r="AJ50" i="25"/>
  <c r="AQ50" i="25"/>
  <c r="F51" i="25" s="1"/>
  <c r="AS50" i="25"/>
  <c r="H51" i="25" s="1"/>
  <c r="AM50" i="25"/>
  <c r="B51" i="25" s="1"/>
  <c r="J50" i="25"/>
  <c r="K50" i="25" s="1"/>
  <c r="L50" i="25" s="1"/>
  <c r="AI50" i="25"/>
  <c r="BO48" i="24"/>
  <c r="Y49" i="25"/>
  <c r="C51" i="7"/>
  <c r="AI50" i="7"/>
  <c r="AJ50" i="7" s="1"/>
  <c r="B46" i="20"/>
  <c r="BL45" i="20"/>
  <c r="H65" i="1"/>
  <c r="B65" i="1"/>
  <c r="E62" i="1"/>
  <c r="B46" i="26"/>
  <c r="BL45" i="26"/>
  <c r="AL48" i="24"/>
  <c r="AD48" i="24"/>
  <c r="BU48" i="24"/>
  <c r="BV48" i="24"/>
  <c r="AA48" i="24"/>
  <c r="AB48" i="24" s="1"/>
  <c r="AC48" i="24" s="1"/>
  <c r="BS48" i="24"/>
  <c r="BA48" i="24"/>
  <c r="BP48" i="24"/>
  <c r="BB48" i="24"/>
  <c r="AI48" i="24"/>
  <c r="AN48" i="24"/>
  <c r="B46" i="23"/>
  <c r="BL45" i="23"/>
  <c r="B51" i="29"/>
  <c r="Z50" i="29"/>
  <c r="AG50" i="29" s="1"/>
  <c r="S49" i="24"/>
  <c r="I49" i="24"/>
  <c r="J49" i="24" s="1"/>
  <c r="K49" i="24" s="1"/>
  <c r="L49" i="24" s="1"/>
  <c r="AO51" i="12"/>
  <c r="AO48" i="10"/>
  <c r="G63" i="1"/>
  <c r="BD48" i="22"/>
  <c r="B49" i="22" s="1"/>
  <c r="Z48" i="22"/>
  <c r="AT48" i="22" s="1"/>
  <c r="AN49" i="29"/>
  <c r="V50" i="7"/>
  <c r="T50" i="7"/>
  <c r="P50" i="7"/>
  <c r="D10" i="14"/>
  <c r="J50" i="7"/>
  <c r="K50" i="7" s="1"/>
  <c r="L50" i="7" s="1"/>
  <c r="W50" i="19"/>
  <c r="X50" i="19"/>
  <c r="H57" i="21"/>
  <c r="Y57" i="21" s="1"/>
  <c r="Z52" i="12"/>
  <c r="BO52" i="12" s="1"/>
  <c r="AT52" i="12"/>
  <c r="B53" i="12" s="1"/>
  <c r="I51" i="19"/>
  <c r="P51" i="19" s="1"/>
  <c r="H72" i="28"/>
  <c r="Y52" i="4"/>
  <c r="D57" i="21"/>
  <c r="U57" i="21" s="1"/>
  <c r="AY51" i="24"/>
  <c r="G52" i="24" s="1"/>
  <c r="AP48" i="10"/>
  <c r="S50" i="21"/>
  <c r="I50" i="21"/>
  <c r="J50" i="21" s="1"/>
  <c r="K50" i="21" s="1"/>
  <c r="L50" i="21" s="1"/>
  <c r="I59" i="28"/>
  <c r="B60" i="28"/>
  <c r="AU53" i="4"/>
  <c r="AS53" i="4"/>
  <c r="H54" i="4" s="1"/>
  <c r="AN53" i="4"/>
  <c r="AR53" i="4"/>
  <c r="G54" i="4" s="1"/>
  <c r="AM53" i="4"/>
  <c r="B54" i="4" s="1"/>
  <c r="AP51" i="12"/>
  <c r="AB55" i="7"/>
  <c r="X57" i="28"/>
  <c r="G69" i="28"/>
  <c r="AD49" i="21"/>
  <c r="AA49" i="21"/>
  <c r="AB49" i="21" s="1"/>
  <c r="AC49" i="21" s="1"/>
  <c r="AH49" i="21"/>
  <c r="AM49" i="21"/>
  <c r="AK49" i="21"/>
  <c r="E57" i="21"/>
  <c r="V57" i="21" s="1"/>
  <c r="G57" i="21"/>
  <c r="X57" i="21" s="1"/>
  <c r="J58" i="28"/>
  <c r="K58" i="28" s="1"/>
  <c r="L58" i="28" s="1"/>
  <c r="S58" i="28"/>
  <c r="R58" i="28"/>
  <c r="V58" i="28"/>
  <c r="U58" i="28"/>
  <c r="BD49" i="10"/>
  <c r="B50" i="10" s="1"/>
  <c r="Z49" i="10"/>
  <c r="AT49" i="10" s="1"/>
  <c r="E54" i="4" l="1"/>
  <c r="D54" i="4"/>
  <c r="Y53" i="4"/>
  <c r="AP48" i="24"/>
  <c r="AQ51" i="12"/>
  <c r="AH48" i="22"/>
  <c r="R59" i="1"/>
  <c r="S59" i="1"/>
  <c r="V59" i="1"/>
  <c r="J59" i="1"/>
  <c r="K59" i="1" s="1"/>
  <c r="L59" i="1" s="1"/>
  <c r="U59" i="1"/>
  <c r="P59" i="1"/>
  <c r="C19" i="14"/>
  <c r="AP49" i="29"/>
  <c r="I60" i="1"/>
  <c r="D61" i="1"/>
  <c r="X58" i="1"/>
  <c r="W58" i="1"/>
  <c r="Y57" i="1"/>
  <c r="Y57" i="28"/>
  <c r="X50" i="25"/>
  <c r="W50" i="25"/>
  <c r="X58" i="28"/>
  <c r="AQ48" i="10"/>
  <c r="B51" i="9"/>
  <c r="Z50" i="9"/>
  <c r="AG50" i="9" s="1"/>
  <c r="AN49" i="9"/>
  <c r="I51" i="25"/>
  <c r="T51" i="25" s="1"/>
  <c r="AO49" i="9"/>
  <c r="AT49" i="24"/>
  <c r="B50" i="24" s="1"/>
  <c r="Z49" i="24"/>
  <c r="BO49" i="24" s="1"/>
  <c r="S46" i="20"/>
  <c r="I46" i="20"/>
  <c r="S49" i="22"/>
  <c r="I49" i="22"/>
  <c r="J49" i="22" s="1"/>
  <c r="K49" i="22" s="1"/>
  <c r="L49" i="22" s="1"/>
  <c r="AN49" i="21"/>
  <c r="AO49" i="21"/>
  <c r="AM50" i="29"/>
  <c r="AA50" i="29"/>
  <c r="AB50" i="29" s="1"/>
  <c r="AC50" i="29" s="1"/>
  <c r="AH50" i="29"/>
  <c r="AD50" i="29"/>
  <c r="AK50" i="29"/>
  <c r="I46" i="26"/>
  <c r="S46" i="26"/>
  <c r="E63" i="1"/>
  <c r="S51" i="29"/>
  <c r="I51" i="29"/>
  <c r="J51" i="29" s="1"/>
  <c r="K51" i="29" s="1"/>
  <c r="L51" i="29" s="1"/>
  <c r="X50" i="7"/>
  <c r="W50" i="7"/>
  <c r="S46" i="23"/>
  <c r="I46" i="23"/>
  <c r="G64" i="1"/>
  <c r="H66" i="1"/>
  <c r="V51" i="19"/>
  <c r="AH49" i="10"/>
  <c r="AO48" i="24"/>
  <c r="AC51" i="7"/>
  <c r="I51" i="7"/>
  <c r="Q51" i="7" s="1"/>
  <c r="BK48" i="22"/>
  <c r="AD48" i="22"/>
  <c r="BL48" i="22"/>
  <c r="BA48" i="22"/>
  <c r="AA48" i="22"/>
  <c r="AB48" i="22" s="1"/>
  <c r="AC48" i="22" s="1"/>
  <c r="AI48" i="22"/>
  <c r="AL48" i="22"/>
  <c r="AN48" i="22"/>
  <c r="B66" i="1"/>
  <c r="B61" i="28"/>
  <c r="I60" i="28"/>
  <c r="T51" i="19"/>
  <c r="AI51" i="19"/>
  <c r="AS54" i="4"/>
  <c r="H55" i="4" s="1"/>
  <c r="B51" i="21"/>
  <c r="Z50" i="21"/>
  <c r="W58" i="28"/>
  <c r="AC51" i="19"/>
  <c r="G58" i="21"/>
  <c r="X58" i="21" s="1"/>
  <c r="BB52" i="12"/>
  <c r="BV52" i="12"/>
  <c r="AD52" i="12"/>
  <c r="AA52" i="12"/>
  <c r="AB52" i="12" s="1"/>
  <c r="AC52" i="12" s="1"/>
  <c r="BA52" i="12"/>
  <c r="AI52" i="12"/>
  <c r="BP52" i="12"/>
  <c r="AN52" i="12"/>
  <c r="BU52" i="12"/>
  <c r="AM52" i="12"/>
  <c r="BT52" i="12"/>
  <c r="J59" i="28"/>
  <c r="K59" i="28" s="1"/>
  <c r="L59" i="28" s="1"/>
  <c r="S59" i="28"/>
  <c r="R59" i="28"/>
  <c r="V59" i="28"/>
  <c r="U59" i="28"/>
  <c r="AA49" i="10"/>
  <c r="AB49" i="10" s="1"/>
  <c r="AC49" i="10" s="1"/>
  <c r="BL49" i="10"/>
  <c r="BK49" i="10"/>
  <c r="BA49" i="10"/>
  <c r="AD49" i="10"/>
  <c r="AN49" i="10"/>
  <c r="AI49" i="10"/>
  <c r="AL49" i="10"/>
  <c r="AD51" i="19"/>
  <c r="AM54" i="4"/>
  <c r="B55" i="4" s="1"/>
  <c r="D58" i="21"/>
  <c r="U58" i="21" s="1"/>
  <c r="H73" i="28"/>
  <c r="H74" i="28" s="1"/>
  <c r="I53" i="12"/>
  <c r="J53" i="12" s="1"/>
  <c r="K53" i="12" s="1"/>
  <c r="L53" i="12" s="1"/>
  <c r="S53" i="12"/>
  <c r="B56" i="7"/>
  <c r="AN51" i="19"/>
  <c r="C52" i="19" s="1"/>
  <c r="AT51" i="19"/>
  <c r="AU51" i="19" s="1"/>
  <c r="AS51" i="19"/>
  <c r="H52" i="19" s="1"/>
  <c r="J51" i="19"/>
  <c r="K51" i="19" s="1"/>
  <c r="L51" i="19" s="1"/>
  <c r="AQ51" i="19"/>
  <c r="G52" i="19" s="1"/>
  <c r="AM51" i="19"/>
  <c r="B52" i="19" s="1"/>
  <c r="AJ51" i="19"/>
  <c r="E58" i="21"/>
  <c r="V58" i="21" s="1"/>
  <c r="S50" i="10"/>
  <c r="I50" i="10"/>
  <c r="J50" i="10" s="1"/>
  <c r="K50" i="10" s="1"/>
  <c r="L50" i="10" s="1"/>
  <c r="G70" i="28"/>
  <c r="Q51" i="19"/>
  <c r="AR54" i="4"/>
  <c r="G55" i="4" s="1"/>
  <c r="P59" i="28"/>
  <c r="X52" i="24"/>
  <c r="AG51" i="19"/>
  <c r="AH52" i="12"/>
  <c r="H58" i="21"/>
  <c r="Y58" i="21" s="1"/>
  <c r="Y50" i="19"/>
  <c r="AQ48" i="24" l="1"/>
  <c r="H75" i="28"/>
  <c r="H76" i="28"/>
  <c r="J46" i="20"/>
  <c r="K46" i="20" s="1"/>
  <c r="L46" i="20" s="1"/>
  <c r="J46" i="26"/>
  <c r="K46" i="26" s="1"/>
  <c r="L46" i="26" s="1"/>
  <c r="J46" i="23"/>
  <c r="K46" i="23" s="1"/>
  <c r="L46" i="23" s="1"/>
  <c r="Y58" i="28"/>
  <c r="Y50" i="7"/>
  <c r="AP49" i="9"/>
  <c r="AC51" i="25"/>
  <c r="AH49" i="24"/>
  <c r="AI51" i="25"/>
  <c r="Y50" i="25"/>
  <c r="Y58" i="1"/>
  <c r="V51" i="25"/>
  <c r="D62" i="1"/>
  <c r="I61" i="1"/>
  <c r="X59" i="1"/>
  <c r="W59" i="1"/>
  <c r="AO50" i="29"/>
  <c r="P51" i="25"/>
  <c r="R60" i="1"/>
  <c r="V60" i="1"/>
  <c r="S60" i="1"/>
  <c r="P60" i="1"/>
  <c r="J60" i="1"/>
  <c r="K60" i="1" s="1"/>
  <c r="L60" i="1" s="1"/>
  <c r="U60" i="1"/>
  <c r="C20" i="14"/>
  <c r="AO48" i="22"/>
  <c r="AP49" i="10"/>
  <c r="AP49" i="21"/>
  <c r="I51" i="9"/>
  <c r="J51" i="9" s="1"/>
  <c r="K51" i="9" s="1"/>
  <c r="L51" i="9" s="1"/>
  <c r="S51" i="9"/>
  <c r="AT51" i="25"/>
  <c r="AU51" i="25" s="1"/>
  <c r="J51" i="25"/>
  <c r="K51" i="25" s="1"/>
  <c r="L51" i="25" s="1"/>
  <c r="AQ51" i="25"/>
  <c r="G52" i="25" s="1"/>
  <c r="AS51" i="25"/>
  <c r="H52" i="25" s="1"/>
  <c r="AN51" i="25"/>
  <c r="C52" i="25" s="1"/>
  <c r="AM51" i="25"/>
  <c r="B52" i="25" s="1"/>
  <c r="AJ51" i="25"/>
  <c r="AG51" i="25"/>
  <c r="Q51" i="25"/>
  <c r="W51" i="19"/>
  <c r="AD51" i="25"/>
  <c r="AM50" i="9"/>
  <c r="AK50" i="9"/>
  <c r="AH50" i="9"/>
  <c r="AA50" i="9"/>
  <c r="AB50" i="9" s="1"/>
  <c r="AC50" i="9" s="1"/>
  <c r="AD50" i="9"/>
  <c r="Z46" i="23"/>
  <c r="G65" i="1"/>
  <c r="AP48" i="22"/>
  <c r="Z46" i="26"/>
  <c r="AT46" i="26" s="1"/>
  <c r="Z46" i="20"/>
  <c r="AH46" i="20" s="1"/>
  <c r="AO49" i="10"/>
  <c r="T51" i="7"/>
  <c r="P51" i="7"/>
  <c r="D11" i="14"/>
  <c r="J51" i="7"/>
  <c r="K51" i="7" s="1"/>
  <c r="L51" i="7" s="1"/>
  <c r="V51" i="7"/>
  <c r="AN50" i="29"/>
  <c r="C52" i="7"/>
  <c r="AI51" i="7"/>
  <c r="AJ51" i="7" s="1"/>
  <c r="B67" i="1"/>
  <c r="Z49" i="22"/>
  <c r="BD49" i="22"/>
  <c r="B50" i="22" s="1"/>
  <c r="Z51" i="29"/>
  <c r="AG51" i="29" s="1"/>
  <c r="B52" i="29"/>
  <c r="BS49" i="24"/>
  <c r="BA49" i="24"/>
  <c r="AL49" i="24"/>
  <c r="AD49" i="24"/>
  <c r="BU49" i="24"/>
  <c r="BV49" i="24"/>
  <c r="BB49" i="24"/>
  <c r="AA49" i="24"/>
  <c r="AB49" i="24" s="1"/>
  <c r="AC49" i="24" s="1"/>
  <c r="BP49" i="24"/>
  <c r="AI49" i="24"/>
  <c r="AN49" i="24"/>
  <c r="E64" i="1"/>
  <c r="H67" i="1"/>
  <c r="S50" i="24"/>
  <c r="I50" i="24"/>
  <c r="J50" i="24" s="1"/>
  <c r="K50" i="24" s="1"/>
  <c r="L50" i="24" s="1"/>
  <c r="D59" i="21"/>
  <c r="U59" i="21" s="1"/>
  <c r="AR55" i="4"/>
  <c r="G56" i="4" s="1"/>
  <c r="G59" i="21"/>
  <c r="X59" i="21" s="1"/>
  <c r="S51" i="21"/>
  <c r="I51" i="21"/>
  <c r="J51" i="21" s="1"/>
  <c r="K51" i="21" s="1"/>
  <c r="L51" i="21" s="1"/>
  <c r="J60" i="28"/>
  <c r="K60" i="28" s="1"/>
  <c r="L60" i="28" s="1"/>
  <c r="S60" i="28"/>
  <c r="R60" i="28"/>
  <c r="V60" i="28"/>
  <c r="U60" i="28"/>
  <c r="AB56" i="7"/>
  <c r="AD50" i="21"/>
  <c r="AA50" i="21"/>
  <c r="AB50" i="21" s="1"/>
  <c r="AC50" i="21" s="1"/>
  <c r="AH50" i="21"/>
  <c r="AK50" i="21"/>
  <c r="AM50" i="21"/>
  <c r="H59" i="21"/>
  <c r="Y59" i="21" s="1"/>
  <c r="I52" i="19"/>
  <c r="AY52" i="24"/>
  <c r="G53" i="24" s="1"/>
  <c r="X59" i="28"/>
  <c r="W59" i="28"/>
  <c r="BD50" i="10"/>
  <c r="B51" i="10" s="1"/>
  <c r="Z50" i="10"/>
  <c r="AO54" i="4"/>
  <c r="D55" i="4" s="1"/>
  <c r="I54" i="4"/>
  <c r="P60" i="28"/>
  <c r="X51" i="19"/>
  <c r="AS55" i="4"/>
  <c r="H56" i="4" s="1"/>
  <c r="AO52" i="12"/>
  <c r="AP52" i="12"/>
  <c r="G71" i="28"/>
  <c r="E59" i="21"/>
  <c r="V59" i="21" s="1"/>
  <c r="AP54" i="4"/>
  <c r="E55" i="4" s="1"/>
  <c r="Z53" i="12"/>
  <c r="AT53" i="12"/>
  <c r="B54" i="12" s="1"/>
  <c r="AM55" i="4"/>
  <c r="B56" i="4" s="1"/>
  <c r="AG50" i="21"/>
  <c r="I61" i="28"/>
  <c r="B62" i="28"/>
  <c r="AH46" i="23" l="1"/>
  <c r="AU46" i="23"/>
  <c r="AH54" i="4"/>
  <c r="AI54" i="4"/>
  <c r="AE54" i="4"/>
  <c r="Y51" i="19"/>
  <c r="V52" i="19"/>
  <c r="S54" i="4"/>
  <c r="AQ48" i="22"/>
  <c r="AP50" i="29"/>
  <c r="AH46" i="26"/>
  <c r="AT46" i="23"/>
  <c r="S61" i="1"/>
  <c r="V61" i="1"/>
  <c r="R61" i="1"/>
  <c r="P61" i="1"/>
  <c r="J61" i="1"/>
  <c r="K61" i="1" s="1"/>
  <c r="L61" i="1" s="1"/>
  <c r="C21" i="14"/>
  <c r="U61" i="1"/>
  <c r="AO49" i="24"/>
  <c r="AQ49" i="10"/>
  <c r="I62" i="1"/>
  <c r="D63" i="1"/>
  <c r="X60" i="1"/>
  <c r="W60" i="1"/>
  <c r="AT46" i="20"/>
  <c r="AO50" i="9"/>
  <c r="X51" i="25"/>
  <c r="Y59" i="1"/>
  <c r="AN50" i="9"/>
  <c r="B52" i="9"/>
  <c r="Z51" i="9"/>
  <c r="AG51" i="9" s="1"/>
  <c r="R54" i="4"/>
  <c r="I52" i="25"/>
  <c r="W51" i="25"/>
  <c r="U52" i="19"/>
  <c r="AC52" i="7"/>
  <c r="I52" i="7"/>
  <c r="G66" i="1"/>
  <c r="AT50" i="24"/>
  <c r="B51" i="24" s="1"/>
  <c r="Z50" i="24"/>
  <c r="AH50" i="24" s="1"/>
  <c r="AP49" i="24"/>
  <c r="AA46" i="20"/>
  <c r="BA46" i="20"/>
  <c r="BK46" i="20"/>
  <c r="AD46" i="20"/>
  <c r="AN46" i="20"/>
  <c r="AI46" i="20"/>
  <c r="AU46" i="20"/>
  <c r="AL46" i="20"/>
  <c r="AZ46" i="20"/>
  <c r="AX46" i="20"/>
  <c r="H68" i="1"/>
  <c r="S52" i="29"/>
  <c r="I52" i="29"/>
  <c r="J52" i="29" s="1"/>
  <c r="K52" i="29" s="1"/>
  <c r="L52" i="29" s="1"/>
  <c r="AA46" i="23"/>
  <c r="BA46" i="23"/>
  <c r="AX46" i="23"/>
  <c r="BK46" i="23"/>
  <c r="AI46" i="23"/>
  <c r="AD46" i="23"/>
  <c r="AL46" i="23"/>
  <c r="AN46" i="23"/>
  <c r="S50" i="22"/>
  <c r="I50" i="22"/>
  <c r="J50" i="22" s="1"/>
  <c r="K50" i="22" s="1"/>
  <c r="L50" i="22" s="1"/>
  <c r="AD49" i="22"/>
  <c r="AA49" i="22"/>
  <c r="AB49" i="22" s="1"/>
  <c r="AC49" i="22" s="1"/>
  <c r="BK49" i="22"/>
  <c r="BL49" i="22"/>
  <c r="BA49" i="22"/>
  <c r="AL49" i="22"/>
  <c r="AI49" i="22"/>
  <c r="AN49" i="22"/>
  <c r="AK51" i="29"/>
  <c r="AD51" i="29"/>
  <c r="AM51" i="29"/>
  <c r="AA51" i="29"/>
  <c r="AB51" i="29" s="1"/>
  <c r="AC51" i="29" s="1"/>
  <c r="AH51" i="29"/>
  <c r="AO51" i="29" s="1"/>
  <c r="AH49" i="22"/>
  <c r="B68" i="1"/>
  <c r="AF54" i="4"/>
  <c r="Y59" i="28"/>
  <c r="E65" i="1"/>
  <c r="AT49" i="22"/>
  <c r="W51" i="7"/>
  <c r="X51" i="7"/>
  <c r="AU46" i="26"/>
  <c r="AD46" i="26"/>
  <c r="BK46" i="26"/>
  <c r="AX46" i="26"/>
  <c r="BA46" i="26"/>
  <c r="AA46" i="26"/>
  <c r="AL46" i="26"/>
  <c r="AI46" i="26"/>
  <c r="AZ46" i="26"/>
  <c r="AN46" i="26"/>
  <c r="G72" i="28"/>
  <c r="H60" i="21"/>
  <c r="Y60" i="21" s="1"/>
  <c r="B57" i="7"/>
  <c r="B63" i="28"/>
  <c r="I62" i="28"/>
  <c r="P62" i="28" s="1"/>
  <c r="BB53" i="12"/>
  <c r="BV53" i="12"/>
  <c r="AA53" i="12"/>
  <c r="AB53" i="12" s="1"/>
  <c r="AC53" i="12" s="1"/>
  <c r="AD53" i="12"/>
  <c r="BA53" i="12"/>
  <c r="BP53" i="12"/>
  <c r="AI53" i="12"/>
  <c r="AN53" i="12"/>
  <c r="BU53" i="12"/>
  <c r="BT53" i="12"/>
  <c r="AM53" i="12"/>
  <c r="AA50" i="10"/>
  <c r="AB50" i="10" s="1"/>
  <c r="AC50" i="10" s="1"/>
  <c r="BK50" i="10"/>
  <c r="BA50" i="10"/>
  <c r="AD50" i="10"/>
  <c r="BL50" i="10"/>
  <c r="AI50" i="10"/>
  <c r="AL50" i="10"/>
  <c r="AN50" i="10"/>
  <c r="J61" i="28"/>
  <c r="K61" i="28" s="1"/>
  <c r="L61" i="28" s="1"/>
  <c r="S61" i="28"/>
  <c r="R61" i="28"/>
  <c r="V61" i="28"/>
  <c r="U61" i="28"/>
  <c r="BO53" i="12"/>
  <c r="B14" i="14"/>
  <c r="AT54" i="4"/>
  <c r="AU54" i="4" s="1"/>
  <c r="AJ54" i="4"/>
  <c r="J54" i="4"/>
  <c r="K54" i="4" s="1"/>
  <c r="L54" i="4" s="1"/>
  <c r="V54" i="4"/>
  <c r="U54" i="4"/>
  <c r="AC54" i="4"/>
  <c r="P54" i="4"/>
  <c r="Q52" i="19"/>
  <c r="S51" i="10"/>
  <c r="I51" i="10"/>
  <c r="J51" i="10" s="1"/>
  <c r="K51" i="10" s="1"/>
  <c r="L51" i="10" s="1"/>
  <c r="B52" i="21"/>
  <c r="Z51" i="21"/>
  <c r="AG51" i="21" s="1"/>
  <c r="D60" i="21"/>
  <c r="U60" i="21" s="1"/>
  <c r="AI52" i="19"/>
  <c r="AP55" i="4"/>
  <c r="E56" i="4" s="1"/>
  <c r="AS56" i="4"/>
  <c r="H57" i="4" s="1"/>
  <c r="X60" i="28"/>
  <c r="W60" i="28"/>
  <c r="AO50" i="21"/>
  <c r="AN50" i="21"/>
  <c r="S54" i="12"/>
  <c r="I54" i="12"/>
  <c r="J54" i="12" s="1"/>
  <c r="K54" i="12" s="1"/>
  <c r="L54" i="12" s="1"/>
  <c r="AD52" i="19"/>
  <c r="AT50" i="10"/>
  <c r="P52" i="19"/>
  <c r="AQ52" i="19"/>
  <c r="AJ52" i="19"/>
  <c r="AS52" i="19"/>
  <c r="H53" i="19" s="1"/>
  <c r="AM52" i="19"/>
  <c r="B53" i="19" s="1"/>
  <c r="AT52" i="19"/>
  <c r="AU52" i="19" s="1"/>
  <c r="AN52" i="19"/>
  <c r="C53" i="19" s="1"/>
  <c r="J52" i="19"/>
  <c r="K52" i="19" s="1"/>
  <c r="L52" i="19" s="1"/>
  <c r="I55" i="4"/>
  <c r="P61" i="28"/>
  <c r="AM56" i="4"/>
  <c r="B57" i="4" s="1"/>
  <c r="AH53" i="12"/>
  <c r="E60" i="21"/>
  <c r="V60" i="21" s="1"/>
  <c r="AQ52" i="12"/>
  <c r="AO55" i="4"/>
  <c r="D56" i="4" s="1"/>
  <c r="AH52" i="19"/>
  <c r="AH50" i="10"/>
  <c r="X53" i="24"/>
  <c r="AC52" i="19"/>
  <c r="G60" i="21"/>
  <c r="X60" i="21" s="1"/>
  <c r="AR56" i="4"/>
  <c r="G57" i="4" s="1"/>
  <c r="AF55" i="4" l="1"/>
  <c r="AH55" i="4"/>
  <c r="AI55" i="4"/>
  <c r="AE55" i="4"/>
  <c r="P52" i="25"/>
  <c r="Q52" i="7"/>
  <c r="AB46" i="20"/>
  <c r="AC46" i="20" s="1"/>
  <c r="AB46" i="26"/>
  <c r="AC46" i="26" s="1"/>
  <c r="AB46" i="23"/>
  <c r="AC46" i="23" s="1"/>
  <c r="AP50" i="9"/>
  <c r="V52" i="25"/>
  <c r="I63" i="1"/>
  <c r="D64" i="1"/>
  <c r="W61" i="1"/>
  <c r="X61" i="1"/>
  <c r="AQ49" i="24"/>
  <c r="Y51" i="25"/>
  <c r="R62" i="1"/>
  <c r="P62" i="1"/>
  <c r="C22" i="14"/>
  <c r="J62" i="1"/>
  <c r="K62" i="1" s="1"/>
  <c r="L62" i="1" s="1"/>
  <c r="V62" i="1"/>
  <c r="S62" i="1"/>
  <c r="U62" i="1"/>
  <c r="BO50" i="24"/>
  <c r="Y60" i="1"/>
  <c r="R55" i="4"/>
  <c r="AP50" i="21"/>
  <c r="AP46" i="23"/>
  <c r="AP46" i="26"/>
  <c r="Y51" i="7"/>
  <c r="AH52" i="25"/>
  <c r="AJ52" i="25"/>
  <c r="AQ52" i="25"/>
  <c r="AM52" i="25"/>
  <c r="B53" i="25" s="1"/>
  <c r="AN52" i="25"/>
  <c r="C53" i="25" s="1"/>
  <c r="J52" i="25"/>
  <c r="K52" i="25" s="1"/>
  <c r="L52" i="25" s="1"/>
  <c r="AS52" i="25"/>
  <c r="H53" i="25" s="1"/>
  <c r="AT52" i="25"/>
  <c r="AU52" i="25" s="1"/>
  <c r="AI52" i="25"/>
  <c r="AC52" i="25"/>
  <c r="AD52" i="25"/>
  <c r="Q52" i="25"/>
  <c r="AK51" i="9"/>
  <c r="AM51" i="9"/>
  <c r="AH51" i="9"/>
  <c r="AA51" i="9"/>
  <c r="AB51" i="9" s="1"/>
  <c r="AC51" i="9" s="1"/>
  <c r="AD51" i="9"/>
  <c r="U52" i="25"/>
  <c r="I52" i="9"/>
  <c r="J52" i="9" s="1"/>
  <c r="K52" i="9" s="1"/>
  <c r="L52" i="9" s="1"/>
  <c r="S52" i="9"/>
  <c r="AO46" i="26"/>
  <c r="C53" i="7"/>
  <c r="AI52" i="7"/>
  <c r="AJ52" i="7" s="1"/>
  <c r="E66" i="1"/>
  <c r="AO49" i="22"/>
  <c r="AP49" i="22"/>
  <c r="BJ46" i="26"/>
  <c r="H47" i="26" s="1"/>
  <c r="Y47" i="26" s="1"/>
  <c r="BH46" i="26"/>
  <c r="BE46" i="26"/>
  <c r="BD46" i="26"/>
  <c r="BE46" i="23"/>
  <c r="C47" i="23" s="1"/>
  <c r="T47" i="23" s="1"/>
  <c r="BD46" i="23"/>
  <c r="BJ46" i="23"/>
  <c r="H47" i="23" s="1"/>
  <c r="Y47" i="23" s="1"/>
  <c r="BH46" i="23"/>
  <c r="F47" i="23" s="1"/>
  <c r="W47" i="23" s="1"/>
  <c r="AO46" i="20"/>
  <c r="AP46" i="20"/>
  <c r="BJ46" i="20"/>
  <c r="H47" i="20" s="1"/>
  <c r="Y47" i="20" s="1"/>
  <c r="BH46" i="20"/>
  <c r="F47" i="20" s="1"/>
  <c r="W47" i="20" s="1"/>
  <c r="BD46" i="20"/>
  <c r="BE46" i="20"/>
  <c r="C47" i="20" s="1"/>
  <c r="T47" i="20" s="1"/>
  <c r="G67" i="1"/>
  <c r="Z50" i="22"/>
  <c r="AH50" i="22" s="1"/>
  <c r="BD50" i="22"/>
  <c r="B51" i="22" s="1"/>
  <c r="S55" i="4"/>
  <c r="B53" i="29"/>
  <c r="Z52" i="29"/>
  <c r="AG52" i="29" s="1"/>
  <c r="AO46" i="23"/>
  <c r="AN51" i="29"/>
  <c r="AP51" i="29" s="1"/>
  <c r="S51" i="24"/>
  <c r="I51" i="24"/>
  <c r="B69" i="1"/>
  <c r="H69" i="1"/>
  <c r="AL50" i="24"/>
  <c r="AD50" i="24"/>
  <c r="BP50" i="24"/>
  <c r="BV50" i="24"/>
  <c r="AI50" i="24"/>
  <c r="BA50" i="24"/>
  <c r="AN50" i="24"/>
  <c r="BS50" i="24"/>
  <c r="AA50" i="24"/>
  <c r="AB50" i="24" s="1"/>
  <c r="AC50" i="24" s="1"/>
  <c r="BU50" i="24"/>
  <c r="BB50" i="24"/>
  <c r="P52" i="7"/>
  <c r="U52" i="7"/>
  <c r="J52" i="7"/>
  <c r="K52" i="7" s="1"/>
  <c r="L52" i="7" s="1"/>
  <c r="D12" i="14"/>
  <c r="V52" i="7"/>
  <c r="S52" i="21"/>
  <c r="I52" i="21"/>
  <c r="AO56" i="4"/>
  <c r="D57" i="4" s="1"/>
  <c r="E61" i="21"/>
  <c r="V61" i="21" s="1"/>
  <c r="Z54" i="12"/>
  <c r="AT54" i="12"/>
  <c r="B55" i="12" s="1"/>
  <c r="D61" i="21"/>
  <c r="U61" i="21" s="1"/>
  <c r="Z51" i="10"/>
  <c r="AH51" i="10" s="1"/>
  <c r="J62" i="28"/>
  <c r="K62" i="28" s="1"/>
  <c r="L62" i="28" s="1"/>
  <c r="S62" i="28"/>
  <c r="R62" i="28"/>
  <c r="V62" i="28"/>
  <c r="U62" i="28"/>
  <c r="G61" i="21"/>
  <c r="X61" i="21" s="1"/>
  <c r="AO50" i="10"/>
  <c r="AP50" i="10"/>
  <c r="AP56" i="4"/>
  <c r="E57" i="4" s="1"/>
  <c r="B64" i="28"/>
  <c r="I63" i="28"/>
  <c r="H61" i="21"/>
  <c r="Y61" i="21" s="1"/>
  <c r="AY53" i="24"/>
  <c r="G54" i="24" s="1"/>
  <c r="W61" i="28"/>
  <c r="X61" i="28"/>
  <c r="AO53" i="12"/>
  <c r="AP53" i="12"/>
  <c r="I56" i="4"/>
  <c r="B15" i="14"/>
  <c r="AT55" i="4"/>
  <c r="AU55" i="4" s="1"/>
  <c r="AJ55" i="4"/>
  <c r="J55" i="4"/>
  <c r="K55" i="4" s="1"/>
  <c r="L55" i="4" s="1"/>
  <c r="V55" i="4"/>
  <c r="AC55" i="4"/>
  <c r="P55" i="4"/>
  <c r="U55" i="4"/>
  <c r="I53" i="19"/>
  <c r="X52" i="19"/>
  <c r="W52" i="19"/>
  <c r="Y60" i="28"/>
  <c r="AA51" i="21"/>
  <c r="AB51" i="21" s="1"/>
  <c r="AC51" i="21" s="1"/>
  <c r="AD51" i="21"/>
  <c r="AH51" i="21"/>
  <c r="AK51" i="21"/>
  <c r="AM51" i="21"/>
  <c r="X54" i="4"/>
  <c r="W54" i="4"/>
  <c r="G73" i="28"/>
  <c r="G74" i="28" s="1"/>
  <c r="AI56" i="4" l="1"/>
  <c r="AH56" i="4"/>
  <c r="AE56" i="4"/>
  <c r="G75" i="28"/>
  <c r="G76" i="28"/>
  <c r="V53" i="19"/>
  <c r="J51" i="24"/>
  <c r="K51" i="24" s="1"/>
  <c r="L51" i="24" s="1"/>
  <c r="P63" i="28"/>
  <c r="J52" i="21"/>
  <c r="K52" i="21" s="1"/>
  <c r="L52" i="21" s="1"/>
  <c r="AQ46" i="23"/>
  <c r="AT50" i="22"/>
  <c r="AQ46" i="26"/>
  <c r="AO51" i="9"/>
  <c r="AQ46" i="20"/>
  <c r="W62" i="1"/>
  <c r="X62" i="1"/>
  <c r="Y61" i="1"/>
  <c r="I64" i="1"/>
  <c r="D65" i="1"/>
  <c r="R63" i="1"/>
  <c r="J63" i="1"/>
  <c r="U63" i="1"/>
  <c r="S63" i="1"/>
  <c r="C23" i="14"/>
  <c r="V63" i="1"/>
  <c r="P63" i="1"/>
  <c r="W52" i="25"/>
  <c r="I53" i="25"/>
  <c r="X52" i="25"/>
  <c r="AP50" i="24"/>
  <c r="Z52" i="9"/>
  <c r="B53" i="9"/>
  <c r="AN51" i="9"/>
  <c r="AP51" i="9" s="1"/>
  <c r="B70" i="1"/>
  <c r="I54" i="7"/>
  <c r="S54" i="7" s="1"/>
  <c r="AD54" i="7"/>
  <c r="Y54" i="4"/>
  <c r="Y52" i="19"/>
  <c r="W62" i="28"/>
  <c r="I53" i="29"/>
  <c r="J53" i="29" s="1"/>
  <c r="K53" i="29" s="1"/>
  <c r="L53" i="29" s="1"/>
  <c r="S53" i="29"/>
  <c r="AE54" i="7"/>
  <c r="E55" i="7" s="1"/>
  <c r="AE55" i="7" s="1"/>
  <c r="E56" i="7" s="1"/>
  <c r="AE56" i="7" s="1"/>
  <c r="E57" i="7" s="1"/>
  <c r="B47" i="23"/>
  <c r="BL46" i="23"/>
  <c r="AT51" i="24"/>
  <c r="B52" i="24" s="1"/>
  <c r="Z51" i="24"/>
  <c r="BO51" i="24" s="1"/>
  <c r="B47" i="26"/>
  <c r="BL46" i="26"/>
  <c r="I51" i="22"/>
  <c r="J51" i="22" s="1"/>
  <c r="K51" i="22" s="1"/>
  <c r="L51" i="22" s="1"/>
  <c r="S51" i="22"/>
  <c r="H70" i="1"/>
  <c r="BL50" i="22"/>
  <c r="BK50" i="22"/>
  <c r="AN50" i="22"/>
  <c r="AA50" i="22"/>
  <c r="AB50" i="22" s="1"/>
  <c r="AC50" i="22" s="1"/>
  <c r="AI50" i="22"/>
  <c r="BA50" i="22"/>
  <c r="AD50" i="22"/>
  <c r="AL50" i="22"/>
  <c r="AQ49" i="22"/>
  <c r="AO50" i="24"/>
  <c r="G68" i="1"/>
  <c r="AC53" i="7"/>
  <c r="AI53" i="7" s="1"/>
  <c r="I53" i="7"/>
  <c r="AN51" i="21"/>
  <c r="E67" i="1"/>
  <c r="B47" i="20"/>
  <c r="BL46" i="20"/>
  <c r="AL52" i="29"/>
  <c r="AA52" i="29"/>
  <c r="AB52" i="29" s="1"/>
  <c r="AC52" i="29" s="1"/>
  <c r="AD52" i="29"/>
  <c r="AH52" i="29"/>
  <c r="AM52" i="29"/>
  <c r="X52" i="7"/>
  <c r="W52" i="7"/>
  <c r="B65" i="28"/>
  <c r="I64" i="28"/>
  <c r="AO51" i="21"/>
  <c r="G62" i="21"/>
  <c r="X62" i="21" s="1"/>
  <c r="D62" i="21"/>
  <c r="U62" i="21" s="1"/>
  <c r="BA54" i="12"/>
  <c r="BB54" i="12"/>
  <c r="BV54" i="12"/>
  <c r="AD54" i="12"/>
  <c r="AA54" i="12"/>
  <c r="AB54" i="12" s="1"/>
  <c r="AC54" i="12" s="1"/>
  <c r="AJ54" i="12"/>
  <c r="AN54" i="12"/>
  <c r="AK54" i="12"/>
  <c r="BQ54" i="12"/>
  <c r="BR54" i="12"/>
  <c r="BU54" i="12"/>
  <c r="AM54" i="12"/>
  <c r="BT54" i="12"/>
  <c r="AD53" i="19"/>
  <c r="AI53" i="19"/>
  <c r="AT56" i="4"/>
  <c r="AU56" i="4" s="1"/>
  <c r="AJ56" i="4"/>
  <c r="B16" i="14"/>
  <c r="J56" i="4"/>
  <c r="K56" i="4" s="1"/>
  <c r="L56" i="4" s="1"/>
  <c r="U56" i="4"/>
  <c r="P56" i="4"/>
  <c r="AC56" i="4"/>
  <c r="V56" i="4"/>
  <c r="AA51" i="10"/>
  <c r="AB51" i="10" s="1"/>
  <c r="AC51" i="10" s="1"/>
  <c r="BA51" i="10"/>
  <c r="AD51" i="10"/>
  <c r="BK51" i="10"/>
  <c r="AL51" i="10"/>
  <c r="AN51" i="10"/>
  <c r="AI51" i="10"/>
  <c r="BO54" i="12"/>
  <c r="Q53" i="19"/>
  <c r="X62" i="28"/>
  <c r="AS53" i="19"/>
  <c r="H54" i="19" s="1"/>
  <c r="AN53" i="19"/>
  <c r="U53" i="19"/>
  <c r="J53" i="19"/>
  <c r="K53" i="19" s="1"/>
  <c r="L53" i="19" s="1"/>
  <c r="AM53" i="19"/>
  <c r="B54" i="19" s="1"/>
  <c r="AH53" i="19"/>
  <c r="AR53" i="19"/>
  <c r="G54" i="19" s="1"/>
  <c r="AJ53" i="19"/>
  <c r="AT53" i="19"/>
  <c r="AU53" i="19" s="1"/>
  <c r="P53" i="19"/>
  <c r="AC53" i="19"/>
  <c r="Y61" i="28"/>
  <c r="X54" i="24"/>
  <c r="H62" i="21"/>
  <c r="Y62" i="21" s="1"/>
  <c r="AF56" i="4"/>
  <c r="AQ50" i="10"/>
  <c r="AT51" i="10"/>
  <c r="S55" i="12"/>
  <c r="I55" i="12"/>
  <c r="J55" i="12" s="1"/>
  <c r="K55" i="12" s="1"/>
  <c r="L55" i="12" s="1"/>
  <c r="E62" i="21"/>
  <c r="V62" i="21" s="1"/>
  <c r="W55" i="4"/>
  <c r="X55" i="4"/>
  <c r="AQ53" i="12"/>
  <c r="J63" i="28"/>
  <c r="S63" i="28"/>
  <c r="R63" i="28"/>
  <c r="V63" i="28"/>
  <c r="U63" i="28"/>
  <c r="S56" i="4"/>
  <c r="AH54" i="12"/>
  <c r="I57" i="4"/>
  <c r="R56" i="4"/>
  <c r="B53" i="21"/>
  <c r="Z52" i="21"/>
  <c r="AF57" i="4" l="1"/>
  <c r="AI57" i="4"/>
  <c r="AH57" i="4"/>
  <c r="AE57" i="4"/>
  <c r="Q53" i="7"/>
  <c r="P53" i="25"/>
  <c r="V53" i="25"/>
  <c r="Y62" i="28"/>
  <c r="Y52" i="25"/>
  <c r="AH51" i="24"/>
  <c r="AC53" i="25"/>
  <c r="AI53" i="25"/>
  <c r="I80" i="1"/>
  <c r="C16" i="8" s="1"/>
  <c r="R16" i="8" s="1"/>
  <c r="K63" i="1"/>
  <c r="W63" i="1"/>
  <c r="X63" i="1"/>
  <c r="S64" i="1"/>
  <c r="P64" i="1"/>
  <c r="V64" i="1"/>
  <c r="J64" i="1"/>
  <c r="K64" i="1" s="1"/>
  <c r="L64" i="1" s="1"/>
  <c r="U64" i="1"/>
  <c r="R64" i="1"/>
  <c r="C24" i="14"/>
  <c r="AP51" i="21"/>
  <c r="I65" i="1"/>
  <c r="D66" i="1"/>
  <c r="Y62" i="1"/>
  <c r="AP50" i="22"/>
  <c r="AO52" i="29"/>
  <c r="AO51" i="10"/>
  <c r="AN52" i="29"/>
  <c r="Q53" i="25"/>
  <c r="AH53" i="25"/>
  <c r="AS53" i="25"/>
  <c r="H54" i="25" s="1"/>
  <c r="U53" i="25"/>
  <c r="AM53" i="25"/>
  <c r="B54" i="25" s="1"/>
  <c r="AR53" i="25"/>
  <c r="G54" i="25" s="1"/>
  <c r="AN53" i="25"/>
  <c r="AJ53" i="25"/>
  <c r="AT53" i="25"/>
  <c r="AU53" i="25" s="1"/>
  <c r="J53" i="25"/>
  <c r="K53" i="25" s="1"/>
  <c r="L53" i="25" s="1"/>
  <c r="AG52" i="9"/>
  <c r="AH52" i="9"/>
  <c r="AD52" i="9"/>
  <c r="AL52" i="9"/>
  <c r="AA52" i="9"/>
  <c r="AB52" i="9" s="1"/>
  <c r="AC52" i="9" s="1"/>
  <c r="AM52" i="9"/>
  <c r="AQ50" i="24"/>
  <c r="R54" i="7"/>
  <c r="AD53" i="25"/>
  <c r="I53" i="9"/>
  <c r="J53" i="9" s="1"/>
  <c r="K53" i="9" s="1"/>
  <c r="L53" i="9" s="1"/>
  <c r="S53" i="9"/>
  <c r="U53" i="7"/>
  <c r="P53" i="7"/>
  <c r="D13" i="14"/>
  <c r="J53" i="7"/>
  <c r="K53" i="7" s="1"/>
  <c r="L53" i="7" s="1"/>
  <c r="V53" i="7"/>
  <c r="Y52" i="7"/>
  <c r="I47" i="20"/>
  <c r="J47" i="20" s="1"/>
  <c r="K47" i="20" s="1"/>
  <c r="L47" i="20" s="1"/>
  <c r="S47" i="20"/>
  <c r="AJ53" i="7"/>
  <c r="Z53" i="29"/>
  <c r="AG53" i="29" s="1"/>
  <c r="B54" i="29"/>
  <c r="I47" i="26"/>
  <c r="J47" i="26" s="1"/>
  <c r="K47" i="26" s="1"/>
  <c r="L47" i="26" s="1"/>
  <c r="S47" i="26"/>
  <c r="E68" i="1"/>
  <c r="Z51" i="22"/>
  <c r="AH51" i="22" s="1"/>
  <c r="I47" i="23"/>
  <c r="J47" i="23" s="1"/>
  <c r="K47" i="23" s="1"/>
  <c r="L47" i="23" s="1"/>
  <c r="S47" i="23"/>
  <c r="H71" i="1"/>
  <c r="BT51" i="24"/>
  <c r="AA51" i="24"/>
  <c r="AB51" i="24" s="1"/>
  <c r="AC51" i="24" s="1"/>
  <c r="AN51" i="24"/>
  <c r="BP51" i="24"/>
  <c r="AD51" i="24"/>
  <c r="BB51" i="24"/>
  <c r="BV51" i="24"/>
  <c r="BA51" i="24"/>
  <c r="BU51" i="24"/>
  <c r="AM51" i="24"/>
  <c r="AI51" i="24"/>
  <c r="D55" i="7"/>
  <c r="AI54" i="7"/>
  <c r="AJ54" i="7" s="1"/>
  <c r="B71" i="1"/>
  <c r="W63" i="28"/>
  <c r="AP51" i="10"/>
  <c r="G69" i="1"/>
  <c r="S52" i="24"/>
  <c r="I52" i="24"/>
  <c r="AO50" i="22"/>
  <c r="P54" i="7"/>
  <c r="V54" i="7"/>
  <c r="U54" i="7"/>
  <c r="J54" i="7"/>
  <c r="K54" i="7" s="1"/>
  <c r="L54" i="7" s="1"/>
  <c r="D14" i="14"/>
  <c r="H63" i="21"/>
  <c r="BE51" i="10"/>
  <c r="C52" i="10" s="1"/>
  <c r="T52" i="10" s="1"/>
  <c r="BD51" i="10"/>
  <c r="BJ51" i="10"/>
  <c r="H52" i="10" s="1"/>
  <c r="Y52" i="10" s="1"/>
  <c r="BH51" i="10"/>
  <c r="G52" i="10" s="1"/>
  <c r="X52" i="10" s="1"/>
  <c r="Y55" i="4"/>
  <c r="E63" i="21"/>
  <c r="X53" i="19"/>
  <c r="W53" i="19"/>
  <c r="R57" i="4"/>
  <c r="X63" i="28"/>
  <c r="J64" i="28"/>
  <c r="K64" i="28" s="1"/>
  <c r="L64" i="28" s="1"/>
  <c r="S64" i="28"/>
  <c r="R64" i="28"/>
  <c r="V64" i="28"/>
  <c r="U64" i="28"/>
  <c r="AA52" i="21"/>
  <c r="AB52" i="21" s="1"/>
  <c r="AC52" i="21" s="1"/>
  <c r="AD52" i="21"/>
  <c r="AM52" i="21"/>
  <c r="AL52" i="21"/>
  <c r="AH52" i="21"/>
  <c r="J57" i="4"/>
  <c r="K57" i="4" s="1"/>
  <c r="L57" i="4" s="1"/>
  <c r="AT57" i="4"/>
  <c r="AJ57" i="4"/>
  <c r="B17" i="14"/>
  <c r="U57" i="4"/>
  <c r="AC57" i="4"/>
  <c r="V57" i="4"/>
  <c r="P57" i="4"/>
  <c r="S53" i="21"/>
  <c r="I53" i="21"/>
  <c r="AO54" i="12"/>
  <c r="AP54" i="12"/>
  <c r="AY54" i="24"/>
  <c r="G55" i="24" s="1"/>
  <c r="S57" i="4"/>
  <c r="X56" i="4"/>
  <c r="W56" i="4"/>
  <c r="P64" i="28"/>
  <c r="AG52" i="21"/>
  <c r="I80" i="28"/>
  <c r="M16" i="8" s="1"/>
  <c r="U16" i="8" s="1"/>
  <c r="K63" i="28"/>
  <c r="Z55" i="12"/>
  <c r="AH55" i="12" s="1"/>
  <c r="AT55" i="12"/>
  <c r="B56" i="12" s="1"/>
  <c r="D63" i="21"/>
  <c r="G63" i="21"/>
  <c r="I65" i="28"/>
  <c r="B66" i="28"/>
  <c r="J52" i="24" l="1"/>
  <c r="K52" i="24" s="1"/>
  <c r="L52" i="24" s="1"/>
  <c r="P65" i="28"/>
  <c r="J53" i="21"/>
  <c r="K53" i="21" s="1"/>
  <c r="L53" i="21" s="1"/>
  <c r="Y53" i="19"/>
  <c r="AQ51" i="10"/>
  <c r="AP52" i="29"/>
  <c r="X53" i="25"/>
  <c r="Y63" i="1"/>
  <c r="AQ50" i="22"/>
  <c r="D67" i="1"/>
  <c r="I66" i="1"/>
  <c r="X64" i="1"/>
  <c r="W64" i="1"/>
  <c r="I81" i="1"/>
  <c r="C17" i="8" s="1"/>
  <c r="R17" i="8" s="1"/>
  <c r="L63" i="1"/>
  <c r="J65" i="1"/>
  <c r="K65" i="1" s="1"/>
  <c r="L65" i="1" s="1"/>
  <c r="P65" i="1"/>
  <c r="U65" i="1"/>
  <c r="V65" i="1"/>
  <c r="R65" i="1"/>
  <c r="S65" i="1"/>
  <c r="C25" i="14"/>
  <c r="AP51" i="24"/>
  <c r="W53" i="25"/>
  <c r="B54" i="9"/>
  <c r="Z53" i="9"/>
  <c r="AO52" i="9"/>
  <c r="AN52" i="9"/>
  <c r="AO51" i="24"/>
  <c r="E54" i="25"/>
  <c r="D54" i="25"/>
  <c r="Y56" i="4"/>
  <c r="X54" i="7"/>
  <c r="W54" i="7"/>
  <c r="H72" i="1"/>
  <c r="BA51" i="22"/>
  <c r="AN51" i="22"/>
  <c r="AI51" i="22"/>
  <c r="BK51" i="22"/>
  <c r="AL51" i="22"/>
  <c r="AD51" i="22"/>
  <c r="AA51" i="22"/>
  <c r="AB51" i="22" s="1"/>
  <c r="AC51" i="22" s="1"/>
  <c r="B72" i="1"/>
  <c r="S54" i="29"/>
  <c r="I54" i="29"/>
  <c r="J54" i="29" s="1"/>
  <c r="K54" i="29" s="1"/>
  <c r="L54" i="29" s="1"/>
  <c r="Y63" i="28"/>
  <c r="AT52" i="24"/>
  <c r="B53" i="24" s="1"/>
  <c r="Z52" i="24"/>
  <c r="AH52" i="24" s="1"/>
  <c r="Z47" i="23"/>
  <c r="G70" i="1"/>
  <c r="I55" i="7"/>
  <c r="AD55" i="7"/>
  <c r="AL53" i="29"/>
  <c r="AD53" i="29"/>
  <c r="AH53" i="29"/>
  <c r="AM53" i="29"/>
  <c r="AA53" i="29"/>
  <c r="AB53" i="29" s="1"/>
  <c r="AC53" i="29" s="1"/>
  <c r="Z47" i="20"/>
  <c r="BO55" i="12"/>
  <c r="AQ54" i="12"/>
  <c r="E69" i="1"/>
  <c r="X53" i="7"/>
  <c r="W53" i="7"/>
  <c r="AT51" i="22"/>
  <c r="Z47" i="26"/>
  <c r="AH47" i="26" s="1"/>
  <c r="G64" i="21"/>
  <c r="BE52" i="10"/>
  <c r="C53" i="10" s="1"/>
  <c r="T53" i="10" s="1"/>
  <c r="H64" i="21"/>
  <c r="X57" i="4"/>
  <c r="W57" i="4"/>
  <c r="BI52" i="10"/>
  <c r="G53" i="10" s="1"/>
  <c r="X53" i="10" s="1"/>
  <c r="AN52" i="21"/>
  <c r="AO52" i="21"/>
  <c r="B67" i="28"/>
  <c r="I66" i="28"/>
  <c r="P66" i="28" s="1"/>
  <c r="D64" i="21"/>
  <c r="S56" i="12"/>
  <c r="I56" i="12"/>
  <c r="J56" i="12" s="1"/>
  <c r="K56" i="12" s="1"/>
  <c r="L56" i="12" s="1"/>
  <c r="L63" i="28"/>
  <c r="I81" i="28"/>
  <c r="M17" i="8" s="1"/>
  <c r="U17" i="8" s="1"/>
  <c r="I54" i="19"/>
  <c r="B54" i="21"/>
  <c r="Z53" i="21"/>
  <c r="AG53" i="21" s="1"/>
  <c r="BJ52" i="10"/>
  <c r="H53" i="10" s="1"/>
  <c r="Y53" i="10" s="1"/>
  <c r="J65" i="28"/>
  <c r="K65" i="28" s="1"/>
  <c r="L65" i="28" s="1"/>
  <c r="S65" i="28"/>
  <c r="R65" i="28"/>
  <c r="V65" i="28"/>
  <c r="U65" i="28"/>
  <c r="BA55" i="12"/>
  <c r="AA55" i="12"/>
  <c r="AB55" i="12" s="1"/>
  <c r="AC55" i="12" s="1"/>
  <c r="AD55" i="12"/>
  <c r="BB55" i="12"/>
  <c r="BV55" i="12"/>
  <c r="BU55" i="12"/>
  <c r="BQ55" i="12"/>
  <c r="AK55" i="12"/>
  <c r="AN55" i="12"/>
  <c r="AJ55" i="12"/>
  <c r="BR55" i="12"/>
  <c r="AM55" i="12"/>
  <c r="BT55" i="12"/>
  <c r="W64" i="28"/>
  <c r="X64" i="28"/>
  <c r="X55" i="24"/>
  <c r="AM57" i="4"/>
  <c r="B58" i="4" s="1"/>
  <c r="AR57" i="4"/>
  <c r="G58" i="4" s="1"/>
  <c r="AS57" i="4"/>
  <c r="H58" i="4" s="1"/>
  <c r="AO57" i="4"/>
  <c r="D58" i="4" s="1"/>
  <c r="AU57" i="4"/>
  <c r="AP57" i="4"/>
  <c r="E58" i="4" s="1"/>
  <c r="E64" i="21"/>
  <c r="B52" i="10"/>
  <c r="BL51" i="10"/>
  <c r="AH47" i="23" l="1"/>
  <c r="AU47" i="23"/>
  <c r="AF54" i="19"/>
  <c r="AT47" i="26"/>
  <c r="AQ51" i="24"/>
  <c r="Y64" i="1"/>
  <c r="Y53" i="25"/>
  <c r="W65" i="1"/>
  <c r="X65" i="1"/>
  <c r="AO53" i="29"/>
  <c r="D68" i="1"/>
  <c r="I67" i="1"/>
  <c r="R66" i="1"/>
  <c r="J66" i="1"/>
  <c r="K66" i="1" s="1"/>
  <c r="L66" i="1" s="1"/>
  <c r="U66" i="1"/>
  <c r="P66" i="1"/>
  <c r="C26" i="14"/>
  <c r="V66" i="1"/>
  <c r="S66" i="1"/>
  <c r="AP51" i="22"/>
  <c r="BO52" i="24"/>
  <c r="Y57" i="4"/>
  <c r="Y53" i="7"/>
  <c r="AP52" i="9"/>
  <c r="X65" i="28"/>
  <c r="I54" i="25"/>
  <c r="AH53" i="9"/>
  <c r="AD53" i="9"/>
  <c r="AL53" i="9"/>
  <c r="AA53" i="9"/>
  <c r="AB53" i="9" s="1"/>
  <c r="AC53" i="9" s="1"/>
  <c r="AM53" i="9"/>
  <c r="AG53" i="9"/>
  <c r="Y54" i="7"/>
  <c r="S54" i="9"/>
  <c r="I54" i="9"/>
  <c r="J54" i="9" s="1"/>
  <c r="K54" i="9" s="1"/>
  <c r="L54" i="9" s="1"/>
  <c r="S53" i="24"/>
  <c r="I53" i="24"/>
  <c r="U55" i="7"/>
  <c r="V55" i="7"/>
  <c r="P55" i="7"/>
  <c r="S55" i="7"/>
  <c r="D15" i="14"/>
  <c r="J55" i="7"/>
  <c r="K55" i="7" s="1"/>
  <c r="L55" i="7" s="1"/>
  <c r="D56" i="7"/>
  <c r="AI55" i="7"/>
  <c r="AJ55" i="7" s="1"/>
  <c r="E70" i="1"/>
  <c r="G71" i="1"/>
  <c r="BA47" i="23"/>
  <c r="BK47" i="23"/>
  <c r="AL47" i="23"/>
  <c r="AX47" i="23"/>
  <c r="AD47" i="23"/>
  <c r="AA47" i="23"/>
  <c r="AI47" i="23"/>
  <c r="AP47" i="23" s="1"/>
  <c r="AN47" i="23"/>
  <c r="B55" i="29"/>
  <c r="Z54" i="29"/>
  <c r="BK47" i="20"/>
  <c r="AA47" i="20"/>
  <c r="BA47" i="20"/>
  <c r="AD47" i="20"/>
  <c r="AX47" i="20"/>
  <c r="AU47" i="20"/>
  <c r="AZ47" i="20"/>
  <c r="AL47" i="20"/>
  <c r="AI47" i="20"/>
  <c r="AN47" i="20"/>
  <c r="AO55" i="12"/>
  <c r="AL47" i="26"/>
  <c r="AA47" i="26"/>
  <c r="AI47" i="26"/>
  <c r="AX47" i="26"/>
  <c r="AU47" i="26"/>
  <c r="BA47" i="26"/>
  <c r="BK47" i="26"/>
  <c r="AD47" i="26"/>
  <c r="AN47" i="26"/>
  <c r="AZ47" i="26"/>
  <c r="AT47" i="23"/>
  <c r="H73" i="1"/>
  <c r="H74" i="1" s="1"/>
  <c r="H75" i="1" s="1"/>
  <c r="AN53" i="29"/>
  <c r="B73" i="1"/>
  <c r="BE51" i="22"/>
  <c r="C52" i="22" s="1"/>
  <c r="T52" i="22" s="1"/>
  <c r="BJ51" i="22"/>
  <c r="H52" i="22" s="1"/>
  <c r="Y52" i="22" s="1"/>
  <c r="BD51" i="22"/>
  <c r="BH51" i="22"/>
  <c r="G52" i="22" s="1"/>
  <c r="X52" i="22" s="1"/>
  <c r="AO51" i="22"/>
  <c r="AQ51" i="22" s="1"/>
  <c r="AT47" i="20"/>
  <c r="AH47" i="20"/>
  <c r="R55" i="7"/>
  <c r="AD52" i="24"/>
  <c r="AM52" i="24"/>
  <c r="BV52" i="24"/>
  <c r="BU52" i="24"/>
  <c r="AN52" i="24"/>
  <c r="BT52" i="24"/>
  <c r="BP52" i="24"/>
  <c r="AA52" i="24"/>
  <c r="AB52" i="24" s="1"/>
  <c r="AC52" i="24" s="1"/>
  <c r="BA52" i="24"/>
  <c r="AI52" i="24"/>
  <c r="BB52" i="24"/>
  <c r="AP55" i="12"/>
  <c r="Z56" i="12"/>
  <c r="AH56" i="12" s="1"/>
  <c r="AT56" i="12"/>
  <c r="B57" i="12" s="1"/>
  <c r="AD53" i="21"/>
  <c r="AA53" i="21"/>
  <c r="AB53" i="21" s="1"/>
  <c r="AC53" i="21" s="1"/>
  <c r="AH53" i="21"/>
  <c r="AM53" i="21"/>
  <c r="AL53" i="21"/>
  <c r="G65" i="21"/>
  <c r="X65" i="21" s="1"/>
  <c r="Y64" i="28"/>
  <c r="W65" i="28"/>
  <c r="S54" i="21"/>
  <c r="I54" i="21"/>
  <c r="AR54" i="19"/>
  <c r="G55" i="19" s="1"/>
  <c r="AO54" i="19"/>
  <c r="D55" i="19" s="1"/>
  <c r="AT54" i="19"/>
  <c r="AU54" i="19" s="1"/>
  <c r="AM54" i="19"/>
  <c r="B55" i="19" s="1"/>
  <c r="AJ54" i="19"/>
  <c r="AS54" i="19"/>
  <c r="H55" i="19" s="1"/>
  <c r="AP54" i="19"/>
  <c r="E55" i="19" s="1"/>
  <c r="J54" i="19"/>
  <c r="K54" i="19" s="1"/>
  <c r="L54" i="19" s="1"/>
  <c r="P54" i="19"/>
  <c r="AI54" i="19"/>
  <c r="U54" i="19"/>
  <c r="AH54" i="19"/>
  <c r="AC54" i="19"/>
  <c r="V54" i="19"/>
  <c r="D65" i="21"/>
  <c r="U65" i="21" s="1"/>
  <c r="J66" i="28"/>
  <c r="K66" i="28" s="1"/>
  <c r="L66" i="28" s="1"/>
  <c r="S66" i="28"/>
  <c r="R66" i="28"/>
  <c r="V66" i="28"/>
  <c r="U66" i="28"/>
  <c r="AP52" i="21"/>
  <c r="R54" i="19"/>
  <c r="S54" i="19"/>
  <c r="I52" i="10"/>
  <c r="J52" i="10" s="1"/>
  <c r="K52" i="10" s="1"/>
  <c r="L52" i="10" s="1"/>
  <c r="S52" i="10"/>
  <c r="I58" i="4"/>
  <c r="S58" i="4" s="1"/>
  <c r="E65" i="21"/>
  <c r="V65" i="21" s="1"/>
  <c r="AY55" i="24"/>
  <c r="G56" i="24" s="1"/>
  <c r="I67" i="28"/>
  <c r="P67" i="28" s="1"/>
  <c r="B68" i="28"/>
  <c r="AE54" i="19"/>
  <c r="H65" i="21"/>
  <c r="Y65" i="21" s="1"/>
  <c r="AI58" i="4" l="1"/>
  <c r="AE58" i="4"/>
  <c r="AH58" i="4"/>
  <c r="B76" i="1"/>
  <c r="J53" i="24"/>
  <c r="K53" i="24" s="1"/>
  <c r="L53" i="24" s="1"/>
  <c r="J54" i="21"/>
  <c r="K54" i="21" s="1"/>
  <c r="L54" i="21" s="1"/>
  <c r="H76" i="1"/>
  <c r="AF54" i="25"/>
  <c r="AB47" i="20"/>
  <c r="AC47" i="20" s="1"/>
  <c r="AB47" i="26"/>
  <c r="AC47" i="26" s="1"/>
  <c r="AO52" i="24"/>
  <c r="AB47" i="23"/>
  <c r="AC47" i="23" s="1"/>
  <c r="AN53" i="21"/>
  <c r="AO53" i="9"/>
  <c r="X66" i="1"/>
  <c r="W66" i="1"/>
  <c r="V67" i="1"/>
  <c r="C27" i="14"/>
  <c r="P67" i="1"/>
  <c r="J67" i="1"/>
  <c r="K67" i="1" s="1"/>
  <c r="L67" i="1" s="1"/>
  <c r="U67" i="1"/>
  <c r="S67" i="1"/>
  <c r="Y65" i="1"/>
  <c r="AP53" i="29"/>
  <c r="I68" i="1"/>
  <c r="D69" i="1"/>
  <c r="R67" i="1"/>
  <c r="AS54" i="25"/>
  <c r="H55" i="25" s="1"/>
  <c r="J54" i="25"/>
  <c r="K54" i="25" s="1"/>
  <c r="L54" i="25" s="1"/>
  <c r="AT54" i="25"/>
  <c r="AU54" i="25" s="1"/>
  <c r="AJ54" i="25"/>
  <c r="AM54" i="25"/>
  <c r="B55" i="25" s="1"/>
  <c r="AO54" i="25"/>
  <c r="D55" i="25" s="1"/>
  <c r="AP54" i="25"/>
  <c r="E55" i="25" s="1"/>
  <c r="AR54" i="25"/>
  <c r="G55" i="25" s="1"/>
  <c r="P54" i="25"/>
  <c r="V54" i="25"/>
  <c r="AH54" i="25"/>
  <c r="AI54" i="25"/>
  <c r="U54" i="25"/>
  <c r="AC54" i="25"/>
  <c r="R54" i="25"/>
  <c r="AE54" i="25"/>
  <c r="X66" i="28"/>
  <c r="Y65" i="28"/>
  <c r="AO47" i="26"/>
  <c r="AO47" i="20"/>
  <c r="AO47" i="23"/>
  <c r="AQ47" i="23" s="1"/>
  <c r="AN53" i="9"/>
  <c r="B55" i="9"/>
  <c r="Z54" i="9"/>
  <c r="AG54" i="9" s="1"/>
  <c r="S54" i="25"/>
  <c r="BJ47" i="20"/>
  <c r="H48" i="20" s="1"/>
  <c r="Y48" i="20" s="1"/>
  <c r="BE47" i="20"/>
  <c r="C48" i="20" s="1"/>
  <c r="T48" i="20" s="1"/>
  <c r="BH47" i="20"/>
  <c r="F48" i="20" s="1"/>
  <c r="W48" i="20" s="1"/>
  <c r="BD47" i="20"/>
  <c r="BI52" i="22"/>
  <c r="G53" i="22" s="1"/>
  <c r="X53" i="22" s="1"/>
  <c r="AD54" i="29"/>
  <c r="AM54" i="29"/>
  <c r="AA54" i="29"/>
  <c r="AB54" i="29" s="1"/>
  <c r="AC54" i="29" s="1"/>
  <c r="AI54" i="29"/>
  <c r="AL54" i="29"/>
  <c r="AJ54" i="29"/>
  <c r="E71" i="1"/>
  <c r="G72" i="1"/>
  <c r="B52" i="22"/>
  <c r="BL51" i="22"/>
  <c r="AG54" i="29"/>
  <c r="AP52" i="24"/>
  <c r="BE52" i="22"/>
  <c r="C53" i="22" s="1"/>
  <c r="T53" i="22" s="1"/>
  <c r="BJ47" i="26"/>
  <c r="H48" i="26" s="1"/>
  <c r="Y48" i="26" s="1"/>
  <c r="BD47" i="26"/>
  <c r="BH47" i="26"/>
  <c r="BE47" i="26"/>
  <c r="BJ47" i="23"/>
  <c r="H48" i="23" s="1"/>
  <c r="Y48" i="23" s="1"/>
  <c r="BD47" i="23"/>
  <c r="BE47" i="23"/>
  <c r="C48" i="23" s="1"/>
  <c r="T48" i="23" s="1"/>
  <c r="BH47" i="23"/>
  <c r="F48" i="23" s="1"/>
  <c r="W48" i="23" s="1"/>
  <c r="AD56" i="7"/>
  <c r="I56" i="7"/>
  <c r="BJ52" i="22"/>
  <c r="H53" i="22" s="1"/>
  <c r="Y53" i="22" s="1"/>
  <c r="X55" i="7"/>
  <c r="W55" i="7"/>
  <c r="AO53" i="21"/>
  <c r="AQ55" i="12"/>
  <c r="S55" i="29"/>
  <c r="I55" i="29"/>
  <c r="J55" i="29" s="1"/>
  <c r="K55" i="29" s="1"/>
  <c r="L55" i="29" s="1"/>
  <c r="AP47" i="20"/>
  <c r="AP47" i="26"/>
  <c r="AT53" i="24"/>
  <c r="B54" i="24" s="1"/>
  <c r="Z53" i="24"/>
  <c r="AH53" i="24" s="1"/>
  <c r="G66" i="21"/>
  <c r="X66" i="21" s="1"/>
  <c r="AT58" i="4"/>
  <c r="J58" i="4"/>
  <c r="K58" i="4" s="1"/>
  <c r="L58" i="4" s="1"/>
  <c r="B18" i="14"/>
  <c r="AJ58" i="4"/>
  <c r="AC58" i="4"/>
  <c r="D66" i="21"/>
  <c r="U66" i="21" s="1"/>
  <c r="B55" i="21"/>
  <c r="Z54" i="21"/>
  <c r="R58" i="4"/>
  <c r="W66" i="28"/>
  <c r="S57" i="12"/>
  <c r="I57" i="12"/>
  <c r="J57" i="12" s="1"/>
  <c r="K57" i="12" s="1"/>
  <c r="L57" i="12" s="1"/>
  <c r="AF58" i="4"/>
  <c r="I55" i="19"/>
  <c r="AE55" i="19" s="1"/>
  <c r="X56" i="24"/>
  <c r="BD52" i="10"/>
  <c r="B53" i="10" s="1"/>
  <c r="Z52" i="10"/>
  <c r="AH52" i="10" s="1"/>
  <c r="U58" i="4"/>
  <c r="AA56" i="12"/>
  <c r="AB56" i="12" s="1"/>
  <c r="AC56" i="12" s="1"/>
  <c r="BA56" i="12"/>
  <c r="BV56" i="12"/>
  <c r="AD56" i="12"/>
  <c r="BB56" i="12"/>
  <c r="AN56" i="12"/>
  <c r="AK56" i="12"/>
  <c r="BR56" i="12"/>
  <c r="AJ56" i="12"/>
  <c r="BQ56" i="12"/>
  <c r="BU56" i="12"/>
  <c r="BT56" i="12"/>
  <c r="AM56" i="12"/>
  <c r="B69" i="28"/>
  <c r="I68" i="28"/>
  <c r="V58" i="4"/>
  <c r="J67" i="28"/>
  <c r="K67" i="28" s="1"/>
  <c r="L67" i="28" s="1"/>
  <c r="S67" i="28"/>
  <c r="R67" i="28"/>
  <c r="V67" i="28"/>
  <c r="U67" i="28"/>
  <c r="E66" i="21"/>
  <c r="V66" i="21" s="1"/>
  <c r="H66" i="21"/>
  <c r="Y66" i="21" s="1"/>
  <c r="P58" i="4"/>
  <c r="X54" i="19"/>
  <c r="W54" i="19"/>
  <c r="BO56" i="12"/>
  <c r="AQ52" i="24" l="1"/>
  <c r="AP53" i="21"/>
  <c r="S55" i="19"/>
  <c r="R56" i="7"/>
  <c r="AQ47" i="26"/>
  <c r="AT52" i="10"/>
  <c r="AH55" i="19"/>
  <c r="U55" i="19"/>
  <c r="R55" i="19"/>
  <c r="V55" i="19"/>
  <c r="Y66" i="28"/>
  <c r="AP53" i="9"/>
  <c r="Y66" i="1"/>
  <c r="S68" i="1"/>
  <c r="J68" i="1"/>
  <c r="K68" i="1" s="1"/>
  <c r="L68" i="1" s="1"/>
  <c r="U68" i="1"/>
  <c r="V68" i="1"/>
  <c r="C28" i="14"/>
  <c r="P68" i="1"/>
  <c r="AQ47" i="20"/>
  <c r="R68" i="1"/>
  <c r="X67" i="1"/>
  <c r="W67" i="1"/>
  <c r="Y67" i="1" s="1"/>
  <c r="Y55" i="7"/>
  <c r="I69" i="1"/>
  <c r="D70" i="1"/>
  <c r="AC55" i="19"/>
  <c r="P55" i="19"/>
  <c r="BO53" i="24"/>
  <c r="I55" i="25"/>
  <c r="AP56" i="12"/>
  <c r="AL54" i="9"/>
  <c r="AI54" i="9"/>
  <c r="AJ54" i="9"/>
  <c r="AA54" i="9"/>
  <c r="AB54" i="9" s="1"/>
  <c r="AC54" i="9" s="1"/>
  <c r="AM54" i="9"/>
  <c r="AD54" i="9"/>
  <c r="W54" i="25"/>
  <c r="X54" i="25"/>
  <c r="S55" i="9"/>
  <c r="I55" i="9"/>
  <c r="J55" i="9" s="1"/>
  <c r="K55" i="9" s="1"/>
  <c r="L55" i="9" s="1"/>
  <c r="B48" i="20"/>
  <c r="BL47" i="20"/>
  <c r="AM53" i="24"/>
  <c r="BT53" i="24"/>
  <c r="BQ53" i="24"/>
  <c r="BA53" i="24"/>
  <c r="AJ53" i="24"/>
  <c r="BB53" i="24"/>
  <c r="BR53" i="24"/>
  <c r="AK53" i="24"/>
  <c r="AD53" i="24"/>
  <c r="BV53" i="24"/>
  <c r="AN53" i="24"/>
  <c r="BU53" i="24"/>
  <c r="AA53" i="24"/>
  <c r="AB53" i="24" s="1"/>
  <c r="AC53" i="24" s="1"/>
  <c r="B56" i="29"/>
  <c r="Z55" i="29"/>
  <c r="AG55" i="29" s="1"/>
  <c r="S54" i="24"/>
  <c r="I54" i="24"/>
  <c r="B48" i="23"/>
  <c r="BL47" i="23"/>
  <c r="I52" i="22"/>
  <c r="S52" i="22"/>
  <c r="AO54" i="29"/>
  <c r="AN54" i="29"/>
  <c r="AI55" i="19"/>
  <c r="D57" i="7"/>
  <c r="AI56" i="7"/>
  <c r="AJ56" i="7" s="1"/>
  <c r="W67" i="28"/>
  <c r="X67" i="28"/>
  <c r="D16" i="14"/>
  <c r="J56" i="7"/>
  <c r="K56" i="7" s="1"/>
  <c r="L56" i="7" s="1"/>
  <c r="V56" i="7"/>
  <c r="U56" i="7"/>
  <c r="S56" i="7"/>
  <c r="P56" i="7"/>
  <c r="B48" i="26"/>
  <c r="BL47" i="26"/>
  <c r="G73" i="1"/>
  <c r="G74" i="1" s="1"/>
  <c r="G75" i="1" s="1"/>
  <c r="E72" i="1"/>
  <c r="H67" i="21"/>
  <c r="Y67" i="21" s="1"/>
  <c r="AD54" i="21"/>
  <c r="AA54" i="21"/>
  <c r="AB54" i="21" s="1"/>
  <c r="AC54" i="21" s="1"/>
  <c r="AM54" i="21"/>
  <c r="AL54" i="21"/>
  <c r="AJ54" i="21"/>
  <c r="AI54" i="21"/>
  <c r="AO56" i="12"/>
  <c r="G67" i="21"/>
  <c r="X67" i="21" s="1"/>
  <c r="J68" i="28"/>
  <c r="K68" i="28" s="1"/>
  <c r="L68" i="28" s="1"/>
  <c r="S68" i="28"/>
  <c r="R68" i="28"/>
  <c r="V68" i="28"/>
  <c r="U68" i="28"/>
  <c r="S53" i="10"/>
  <c r="I53" i="10"/>
  <c r="J53" i="10" s="1"/>
  <c r="K53" i="10" s="1"/>
  <c r="L53" i="10" s="1"/>
  <c r="Z57" i="12"/>
  <c r="AH57" i="12" s="1"/>
  <c r="S55" i="21"/>
  <c r="I55" i="21"/>
  <c r="D67" i="21"/>
  <c r="U67" i="21" s="1"/>
  <c r="W58" i="4"/>
  <c r="X58" i="4"/>
  <c r="E67" i="21"/>
  <c r="V67" i="21" s="1"/>
  <c r="P68" i="28"/>
  <c r="AU58" i="4"/>
  <c r="AS58" i="4"/>
  <c r="H59" i="4" s="1"/>
  <c r="AR58" i="4"/>
  <c r="G59" i="4" s="1"/>
  <c r="AP58" i="4"/>
  <c r="E59" i="4" s="1"/>
  <c r="AM58" i="4"/>
  <c r="B59" i="4" s="1"/>
  <c r="AO58" i="4"/>
  <c r="D59" i="4" s="1"/>
  <c r="Y54" i="19"/>
  <c r="I69" i="28"/>
  <c r="B70" i="28"/>
  <c r="BA52" i="10"/>
  <c r="AA52" i="10"/>
  <c r="AB52" i="10" s="1"/>
  <c r="AC52" i="10" s="1"/>
  <c r="AD52" i="10"/>
  <c r="BL52" i="10"/>
  <c r="BK52" i="10"/>
  <c r="AM52" i="10"/>
  <c r="AN52" i="10"/>
  <c r="AI52" i="10"/>
  <c r="AM55" i="19"/>
  <c r="B56" i="19" s="1"/>
  <c r="AS55" i="19"/>
  <c r="H56" i="19" s="1"/>
  <c r="AO55" i="19"/>
  <c r="D56" i="19" s="1"/>
  <c r="AT55" i="19"/>
  <c r="AU55" i="19" s="1"/>
  <c r="AP55" i="19"/>
  <c r="E56" i="19" s="1"/>
  <c r="AR55" i="19"/>
  <c r="G56" i="19" s="1"/>
  <c r="J55" i="19"/>
  <c r="K55" i="19" s="1"/>
  <c r="L55" i="19" s="1"/>
  <c r="AJ55" i="19"/>
  <c r="AG54" i="21"/>
  <c r="AF55" i="19"/>
  <c r="J55" i="21" l="1"/>
  <c r="K55" i="21" s="1"/>
  <c r="L55" i="21" s="1"/>
  <c r="J54" i="24"/>
  <c r="K54" i="24" s="1"/>
  <c r="L54" i="24" s="1"/>
  <c r="J52" i="22"/>
  <c r="K52" i="22" s="1"/>
  <c r="L52" i="22" s="1"/>
  <c r="P55" i="25"/>
  <c r="AQ56" i="12"/>
  <c r="W55" i="19"/>
  <c r="X55" i="19"/>
  <c r="AN54" i="9"/>
  <c r="R69" i="1"/>
  <c r="V69" i="1"/>
  <c r="P69" i="1"/>
  <c r="S69" i="1"/>
  <c r="C29" i="14"/>
  <c r="J69" i="1"/>
  <c r="K69" i="1" s="1"/>
  <c r="L69" i="1" s="1"/>
  <c r="U69" i="1"/>
  <c r="W68" i="1"/>
  <c r="X68" i="1"/>
  <c r="D71" i="1"/>
  <c r="I70" i="1"/>
  <c r="U55" i="25"/>
  <c r="Y54" i="25"/>
  <c r="AP53" i="24"/>
  <c r="AH55" i="25"/>
  <c r="AO54" i="9"/>
  <c r="AF55" i="25"/>
  <c r="J55" i="25"/>
  <c r="K55" i="25" s="1"/>
  <c r="L55" i="25" s="1"/>
  <c r="AT55" i="25"/>
  <c r="AU55" i="25" s="1"/>
  <c r="AO55" i="25"/>
  <c r="D56" i="25" s="1"/>
  <c r="AM55" i="25"/>
  <c r="B56" i="25" s="1"/>
  <c r="AR55" i="25"/>
  <c r="G56" i="25" s="1"/>
  <c r="AP55" i="25"/>
  <c r="E56" i="25" s="1"/>
  <c r="AJ55" i="25"/>
  <c r="AS55" i="25"/>
  <c r="H56" i="25" s="1"/>
  <c r="Z55" i="9"/>
  <c r="AG55" i="9" s="1"/>
  <c r="B56" i="9"/>
  <c r="AE55" i="25"/>
  <c r="AP52" i="10"/>
  <c r="AP54" i="29"/>
  <c r="AI55" i="25"/>
  <c r="R55" i="25"/>
  <c r="V55" i="25"/>
  <c r="S55" i="25"/>
  <c r="AC55" i="25"/>
  <c r="E73" i="1"/>
  <c r="E74" i="1" s="1"/>
  <c r="I48" i="23"/>
  <c r="J48" i="23" s="1"/>
  <c r="K48" i="23" s="1"/>
  <c r="L48" i="23" s="1"/>
  <c r="S48" i="23"/>
  <c r="I57" i="7"/>
  <c r="R57" i="7" s="1"/>
  <c r="BD52" i="22"/>
  <c r="B53" i="22" s="1"/>
  <c r="Z52" i="22"/>
  <c r="S48" i="26"/>
  <c r="I48" i="26"/>
  <c r="J48" i="26" s="1"/>
  <c r="K48" i="26" s="1"/>
  <c r="L48" i="26" s="1"/>
  <c r="Y67" i="28"/>
  <c r="AO53" i="24"/>
  <c r="AM55" i="29"/>
  <c r="AD55" i="29"/>
  <c r="AA55" i="29"/>
  <c r="AB55" i="29" s="1"/>
  <c r="AC55" i="29" s="1"/>
  <c r="AL55" i="29"/>
  <c r="AJ55" i="29"/>
  <c r="AI55" i="29"/>
  <c r="X56" i="7"/>
  <c r="W56" i="7"/>
  <c r="AT54" i="24"/>
  <c r="B55" i="24" s="1"/>
  <c r="Z54" i="24"/>
  <c r="AH54" i="24" s="1"/>
  <c r="S56" i="29"/>
  <c r="I56" i="29"/>
  <c r="J56" i="29" s="1"/>
  <c r="K56" i="29" s="1"/>
  <c r="L56" i="29" s="1"/>
  <c r="I48" i="20"/>
  <c r="J48" i="20" s="1"/>
  <c r="K48" i="20" s="1"/>
  <c r="L48" i="20" s="1"/>
  <c r="S48" i="20"/>
  <c r="I70" i="28"/>
  <c r="P70" i="28" s="1"/>
  <c r="B71" i="28"/>
  <c r="AP59" i="4"/>
  <c r="E60" i="4" s="1"/>
  <c r="AO52" i="10"/>
  <c r="D68" i="21"/>
  <c r="U68" i="21" s="1"/>
  <c r="G68" i="21"/>
  <c r="X68" i="21" s="1"/>
  <c r="AN54" i="21"/>
  <c r="AO54" i="21"/>
  <c r="J69" i="28"/>
  <c r="K69" i="28" s="1"/>
  <c r="L69" i="28" s="1"/>
  <c r="S69" i="28"/>
  <c r="R69" i="28"/>
  <c r="V69" i="28"/>
  <c r="U69" i="28"/>
  <c r="AR59" i="4"/>
  <c r="G60" i="4" s="1"/>
  <c r="AO59" i="4"/>
  <c r="D60" i="4" s="1"/>
  <c r="AS59" i="4"/>
  <c r="H60" i="4" s="1"/>
  <c r="Y58" i="4"/>
  <c r="B56" i="21"/>
  <c r="Z55" i="21"/>
  <c r="AA57" i="12"/>
  <c r="AB57" i="12" s="1"/>
  <c r="AC57" i="12" s="1"/>
  <c r="BV57" i="12"/>
  <c r="AZ57" i="12"/>
  <c r="H58" i="12" s="1"/>
  <c r="AD57" i="12"/>
  <c r="BA57" i="12"/>
  <c r="BR57" i="12"/>
  <c r="BU57" i="12"/>
  <c r="BQ57" i="12"/>
  <c r="AK57" i="12"/>
  <c r="AN57" i="12"/>
  <c r="AJ57" i="12"/>
  <c r="AM57" i="12"/>
  <c r="BT57" i="12"/>
  <c r="Z53" i="10"/>
  <c r="H68" i="21"/>
  <c r="Y68" i="21" s="1"/>
  <c r="X68" i="28"/>
  <c r="W68" i="28"/>
  <c r="I56" i="19"/>
  <c r="P69" i="28"/>
  <c r="AM59" i="4"/>
  <c r="B60" i="4" s="1"/>
  <c r="I59" i="4"/>
  <c r="R59" i="4" s="1"/>
  <c r="E68" i="21"/>
  <c r="V68" i="21" s="1"/>
  <c r="BO57" i="12"/>
  <c r="AI59" i="4" l="1"/>
  <c r="AE59" i="4"/>
  <c r="AH59" i="4"/>
  <c r="E75" i="1"/>
  <c r="AP54" i="9"/>
  <c r="G76" i="1"/>
  <c r="Y55" i="19"/>
  <c r="E76" i="1"/>
  <c r="V56" i="19"/>
  <c r="Y68" i="1"/>
  <c r="X55" i="25"/>
  <c r="C30" i="14"/>
  <c r="S70" i="1"/>
  <c r="P70" i="1"/>
  <c r="J70" i="1"/>
  <c r="K70" i="1" s="1"/>
  <c r="L70" i="1" s="1"/>
  <c r="U70" i="1"/>
  <c r="R70" i="1"/>
  <c r="V70" i="1"/>
  <c r="D72" i="1"/>
  <c r="I71" i="1"/>
  <c r="W69" i="1"/>
  <c r="X69" i="1"/>
  <c r="BO54" i="24"/>
  <c r="AQ53" i="24"/>
  <c r="I56" i="25"/>
  <c r="AP54" i="21"/>
  <c r="S56" i="9"/>
  <c r="I56" i="9"/>
  <c r="J56" i="9" s="1"/>
  <c r="K56" i="9" s="1"/>
  <c r="L56" i="9" s="1"/>
  <c r="AA55" i="9"/>
  <c r="AB55" i="9" s="1"/>
  <c r="AC55" i="9" s="1"/>
  <c r="AD55" i="9"/>
  <c r="AL55" i="9"/>
  <c r="AJ55" i="9"/>
  <c r="AI55" i="9"/>
  <c r="AM55" i="9"/>
  <c r="W55" i="25"/>
  <c r="Y55" i="25" s="1"/>
  <c r="AQ52" i="10"/>
  <c r="Z56" i="29"/>
  <c r="AG56" i="29" s="1"/>
  <c r="B57" i="29"/>
  <c r="AN55" i="29"/>
  <c r="AH57" i="7"/>
  <c r="V57" i="7"/>
  <c r="U57" i="7"/>
  <c r="S57" i="7"/>
  <c r="D17" i="14"/>
  <c r="J57" i="7"/>
  <c r="K57" i="7" s="1"/>
  <c r="L57" i="7" s="1"/>
  <c r="P57" i="7"/>
  <c r="Z48" i="26"/>
  <c r="AH48" i="26" s="1"/>
  <c r="Z48" i="23"/>
  <c r="AO57" i="12"/>
  <c r="AJ54" i="24"/>
  <c r="BT54" i="24"/>
  <c r="AN54" i="24"/>
  <c r="AA54" i="24"/>
  <c r="AB54" i="24" s="1"/>
  <c r="AC54" i="24" s="1"/>
  <c r="BQ54" i="24"/>
  <c r="AD54" i="24"/>
  <c r="AK54" i="24"/>
  <c r="BA54" i="24"/>
  <c r="BR54" i="24"/>
  <c r="AM54" i="24"/>
  <c r="BB54" i="24"/>
  <c r="BV54" i="24"/>
  <c r="BU54" i="24"/>
  <c r="BK52" i="22"/>
  <c r="AD52" i="22"/>
  <c r="AA52" i="22"/>
  <c r="AB52" i="22" s="1"/>
  <c r="AC52" i="22" s="1"/>
  <c r="BA52" i="22"/>
  <c r="BL52" i="22"/>
  <c r="AM52" i="22"/>
  <c r="AN52" i="22"/>
  <c r="AI52" i="22"/>
  <c r="BB57" i="12"/>
  <c r="S55" i="24"/>
  <c r="I55" i="24"/>
  <c r="S53" i="22"/>
  <c r="I53" i="22"/>
  <c r="Y68" i="28"/>
  <c r="Z48" i="20"/>
  <c r="AT48" i="20" s="1"/>
  <c r="Y56" i="7"/>
  <c r="AH52" i="22"/>
  <c r="AT52" i="22"/>
  <c r="AO55" i="29"/>
  <c r="AP55" i="29" s="1"/>
  <c r="BK53" i="10"/>
  <c r="BA53" i="10"/>
  <c r="AA53" i="10"/>
  <c r="AB53" i="10" s="1"/>
  <c r="AC53" i="10" s="1"/>
  <c r="AD53" i="10"/>
  <c r="AM53" i="10"/>
  <c r="AN53" i="10"/>
  <c r="AI53" i="10"/>
  <c r="AA55" i="21"/>
  <c r="AB55" i="21" s="1"/>
  <c r="AC55" i="21" s="1"/>
  <c r="AD55" i="21"/>
  <c r="AM55" i="21"/>
  <c r="AL55" i="21"/>
  <c r="AI55" i="21"/>
  <c r="AJ55" i="21"/>
  <c r="U56" i="19"/>
  <c r="AR60" i="4"/>
  <c r="G61" i="4" s="1"/>
  <c r="S59" i="4"/>
  <c r="R56" i="19"/>
  <c r="AM60" i="4"/>
  <c r="B61" i="4" s="1"/>
  <c r="I60" i="4"/>
  <c r="AC60" i="4" s="1"/>
  <c r="AF56" i="19"/>
  <c r="AI56" i="19"/>
  <c r="H69" i="21"/>
  <c r="Y69" i="21" s="1"/>
  <c r="S56" i="21"/>
  <c r="I56" i="21"/>
  <c r="V59" i="4"/>
  <c r="AP60" i="4"/>
  <c r="E61" i="4" s="1"/>
  <c r="AJ59" i="4"/>
  <c r="AT59" i="4"/>
  <c r="AU59" i="4" s="1"/>
  <c r="B19" i="14"/>
  <c r="J59" i="4"/>
  <c r="K59" i="4" s="1"/>
  <c r="L59" i="4" s="1"/>
  <c r="W69" i="28"/>
  <c r="X69" i="28"/>
  <c r="P59" i="4"/>
  <c r="P56" i="19"/>
  <c r="S56" i="19"/>
  <c r="AH53" i="10"/>
  <c r="AO60" i="4"/>
  <c r="D61" i="4" s="1"/>
  <c r="U59" i="4"/>
  <c r="AP57" i="12"/>
  <c r="D69" i="21"/>
  <c r="U69" i="21" s="1"/>
  <c r="B72" i="28"/>
  <c r="I71" i="28"/>
  <c r="AJ56" i="19"/>
  <c r="AP56" i="19"/>
  <c r="E57" i="19" s="1"/>
  <c r="AO56" i="19"/>
  <c r="D57" i="19" s="1"/>
  <c r="AR56" i="19"/>
  <c r="G57" i="19" s="1"/>
  <c r="AS56" i="19"/>
  <c r="H57" i="19" s="1"/>
  <c r="AM56" i="19"/>
  <c r="B57" i="19" s="1"/>
  <c r="AT56" i="19"/>
  <c r="AU56" i="19" s="1"/>
  <c r="J56" i="19"/>
  <c r="K56" i="19" s="1"/>
  <c r="L56" i="19" s="1"/>
  <c r="E69" i="21"/>
  <c r="V69" i="21" s="1"/>
  <c r="AC59" i="4"/>
  <c r="AC56" i="19"/>
  <c r="AE56" i="19"/>
  <c r="AT53" i="10"/>
  <c r="Y58" i="12"/>
  <c r="I58" i="12"/>
  <c r="J58" i="12" s="1"/>
  <c r="K58" i="12" s="1"/>
  <c r="L58" i="12" s="1"/>
  <c r="AG55" i="21"/>
  <c r="AS60" i="4"/>
  <c r="H61" i="4" s="1"/>
  <c r="AH56" i="19"/>
  <c r="G69" i="21"/>
  <c r="X69" i="21" s="1"/>
  <c r="AF59" i="4"/>
  <c r="J70" i="28"/>
  <c r="K70" i="28" s="1"/>
  <c r="L70" i="28" s="1"/>
  <c r="S70" i="28"/>
  <c r="R70" i="28"/>
  <c r="V70" i="28"/>
  <c r="U70" i="28"/>
  <c r="AT48" i="23" l="1"/>
  <c r="AU48" i="23"/>
  <c r="AI60" i="4"/>
  <c r="AE60" i="4"/>
  <c r="AH60" i="4"/>
  <c r="J53" i="22"/>
  <c r="K53" i="22" s="1"/>
  <c r="L53" i="22" s="1"/>
  <c r="J55" i="24"/>
  <c r="K55" i="24" s="1"/>
  <c r="L55" i="24" s="1"/>
  <c r="AE56" i="25"/>
  <c r="J56" i="21"/>
  <c r="K56" i="21" s="1"/>
  <c r="L56" i="21" s="1"/>
  <c r="R56" i="25"/>
  <c r="V60" i="4"/>
  <c r="S60" i="4"/>
  <c r="AI56" i="25"/>
  <c r="P56" i="25"/>
  <c r="W70" i="1"/>
  <c r="X70" i="1"/>
  <c r="AF56" i="25"/>
  <c r="AH56" i="25"/>
  <c r="Y69" i="1"/>
  <c r="D73" i="1"/>
  <c r="D74" i="1" s="1"/>
  <c r="I72" i="1"/>
  <c r="S56" i="25"/>
  <c r="V56" i="25"/>
  <c r="J71" i="1"/>
  <c r="K71" i="1" s="1"/>
  <c r="L71" i="1" s="1"/>
  <c r="U71" i="1"/>
  <c r="S71" i="1"/>
  <c r="P71" i="1"/>
  <c r="C31" i="14"/>
  <c r="R71" i="1"/>
  <c r="V71" i="1"/>
  <c r="AT48" i="26"/>
  <c r="AO55" i="9"/>
  <c r="AH48" i="23"/>
  <c r="AF60" i="4"/>
  <c r="R60" i="4"/>
  <c r="Z56" i="9"/>
  <c r="AG56" i="9" s="1"/>
  <c r="B57" i="9"/>
  <c r="AN55" i="9"/>
  <c r="AP54" i="24"/>
  <c r="J56" i="25"/>
  <c r="K56" i="25" s="1"/>
  <c r="L56" i="25" s="1"/>
  <c r="AR56" i="25"/>
  <c r="G57" i="25" s="1"/>
  <c r="AJ56" i="25"/>
  <c r="AP56" i="25"/>
  <c r="E57" i="25" s="1"/>
  <c r="AT56" i="25"/>
  <c r="AU56" i="25" s="1"/>
  <c r="AS56" i="25"/>
  <c r="H57" i="25" s="1"/>
  <c r="AO56" i="25"/>
  <c r="D57" i="25" s="1"/>
  <c r="AM56" i="25"/>
  <c r="B57" i="25" s="1"/>
  <c r="AO52" i="22"/>
  <c r="U56" i="25"/>
  <c r="AC56" i="25"/>
  <c r="AQ57" i="12"/>
  <c r="AP52" i="22"/>
  <c r="W57" i="7"/>
  <c r="X57" i="7"/>
  <c r="S57" i="29"/>
  <c r="I57" i="29"/>
  <c r="J57" i="29" s="1"/>
  <c r="K57" i="29" s="1"/>
  <c r="L57" i="29" s="1"/>
  <c r="AN48" i="23"/>
  <c r="AA48" i="23"/>
  <c r="AB48" i="23" s="1"/>
  <c r="AC48" i="23" s="1"/>
  <c r="BK48" i="23"/>
  <c r="AD48" i="23"/>
  <c r="AX48" i="23"/>
  <c r="BA48" i="23"/>
  <c r="AI48" i="23"/>
  <c r="AL48" i="23"/>
  <c r="BK48" i="20"/>
  <c r="BA48" i="20"/>
  <c r="AD48" i="20"/>
  <c r="AA48" i="20"/>
  <c r="AB48" i="20" s="1"/>
  <c r="AC48" i="20" s="1"/>
  <c r="AI48" i="20"/>
  <c r="AU48" i="20"/>
  <c r="AZ48" i="20"/>
  <c r="AN48" i="20"/>
  <c r="AX48" i="20"/>
  <c r="AL48" i="20"/>
  <c r="Z53" i="22"/>
  <c r="AT53" i="22" s="1"/>
  <c r="AD56" i="29"/>
  <c r="AA56" i="29"/>
  <c r="AB56" i="29" s="1"/>
  <c r="AC56" i="29" s="1"/>
  <c r="AJ56" i="29"/>
  <c r="AL56" i="29"/>
  <c r="AM56" i="29"/>
  <c r="AI56" i="29"/>
  <c r="H58" i="7"/>
  <c r="AI57" i="7"/>
  <c r="AJ57" i="7" s="1"/>
  <c r="W70" i="28"/>
  <c r="P60" i="4"/>
  <c r="AH48" i="20"/>
  <c r="AO54" i="24"/>
  <c r="AT55" i="24"/>
  <c r="B56" i="24" s="1"/>
  <c r="Z55" i="24"/>
  <c r="AX48" i="26"/>
  <c r="BK48" i="26"/>
  <c r="AA48" i="26"/>
  <c r="AB48" i="26" s="1"/>
  <c r="AC48" i="26" s="1"/>
  <c r="AL48" i="26"/>
  <c r="AI48" i="26"/>
  <c r="AU48" i="26"/>
  <c r="BA48" i="26"/>
  <c r="AD48" i="26"/>
  <c r="AZ48" i="26"/>
  <c r="AN48" i="26"/>
  <c r="J71" i="28"/>
  <c r="K71" i="28" s="1"/>
  <c r="L71" i="28" s="1"/>
  <c r="S71" i="28"/>
  <c r="R71" i="28"/>
  <c r="V71" i="28"/>
  <c r="U71" i="28"/>
  <c r="X56" i="19"/>
  <c r="W56" i="19"/>
  <c r="I61" i="4"/>
  <c r="S61" i="4" s="1"/>
  <c r="AN55" i="21"/>
  <c r="AO55" i="21"/>
  <c r="B73" i="28"/>
  <c r="B74" i="28" s="1"/>
  <c r="I72" i="28"/>
  <c r="P72" i="28" s="1"/>
  <c r="W59" i="4"/>
  <c r="X59" i="4"/>
  <c r="Y69" i="28"/>
  <c r="H70" i="21"/>
  <c r="Y70" i="21" s="1"/>
  <c r="U60" i="4"/>
  <c r="G70" i="21"/>
  <c r="X70" i="21" s="1"/>
  <c r="X70" i="28"/>
  <c r="B57" i="21"/>
  <c r="Z56" i="21"/>
  <c r="AG56" i="21" s="1"/>
  <c r="BI53" i="10"/>
  <c r="G54" i="10" s="1"/>
  <c r="X54" i="10" s="1"/>
  <c r="BJ53" i="10"/>
  <c r="H54" i="10" s="1"/>
  <c r="Y54" i="10" s="1"/>
  <c r="BD53" i="10"/>
  <c r="BE53" i="10"/>
  <c r="E70" i="21"/>
  <c r="V70" i="21" s="1"/>
  <c r="Z58" i="12"/>
  <c r="AN58" i="12" s="1"/>
  <c r="I57" i="19"/>
  <c r="V57" i="19" s="1"/>
  <c r="P71" i="28"/>
  <c r="D70" i="21"/>
  <c r="U70" i="21" s="1"/>
  <c r="AP53" i="10"/>
  <c r="AO53" i="10"/>
  <c r="AJ60" i="4"/>
  <c r="B20" i="14"/>
  <c r="J60" i="4"/>
  <c r="K60" i="4" s="1"/>
  <c r="L60" i="4" s="1"/>
  <c r="AT60" i="4"/>
  <c r="AU60" i="4" s="1"/>
  <c r="D54" i="10" l="1"/>
  <c r="E54" i="10"/>
  <c r="AH61" i="4"/>
  <c r="AI61" i="4"/>
  <c r="AE61" i="4"/>
  <c r="D75" i="1"/>
  <c r="I74" i="1"/>
  <c r="R74" i="1"/>
  <c r="B75" i="28"/>
  <c r="I74" i="28"/>
  <c r="B76" i="28"/>
  <c r="D76" i="1"/>
  <c r="I76" i="1" s="1"/>
  <c r="C12" i="8" s="1"/>
  <c r="R12" i="8" s="1"/>
  <c r="AQ52" i="22"/>
  <c r="V61" i="4"/>
  <c r="AQ54" i="24"/>
  <c r="X56" i="25"/>
  <c r="I73" i="1"/>
  <c r="W71" i="1"/>
  <c r="X71" i="1"/>
  <c r="Y70" i="1"/>
  <c r="AQ53" i="10"/>
  <c r="Y70" i="28"/>
  <c r="AP48" i="26"/>
  <c r="S72" i="1"/>
  <c r="P72" i="1"/>
  <c r="V72" i="1"/>
  <c r="C32" i="14"/>
  <c r="U72" i="1"/>
  <c r="J72" i="1"/>
  <c r="K72" i="1" s="1"/>
  <c r="L72" i="1" s="1"/>
  <c r="R72" i="1"/>
  <c r="U61" i="4"/>
  <c r="W60" i="4"/>
  <c r="AP55" i="9"/>
  <c r="I57" i="25"/>
  <c r="AE57" i="25" s="1"/>
  <c r="R61" i="4"/>
  <c r="AP48" i="23"/>
  <c r="I57" i="9"/>
  <c r="J57" i="9" s="1"/>
  <c r="K57" i="9" s="1"/>
  <c r="L57" i="9" s="1"/>
  <c r="S57" i="9"/>
  <c r="AO48" i="20"/>
  <c r="AM56" i="9"/>
  <c r="AD56" i="9"/>
  <c r="AJ56" i="9"/>
  <c r="AI56" i="9"/>
  <c r="AA56" i="9"/>
  <c r="AB56" i="9" s="1"/>
  <c r="AC56" i="9" s="1"/>
  <c r="AL56" i="9"/>
  <c r="X60" i="4"/>
  <c r="AH53" i="22"/>
  <c r="AF61" i="4"/>
  <c r="AO56" i="29"/>
  <c r="W56" i="25"/>
  <c r="BE48" i="23"/>
  <c r="C49" i="23" s="1"/>
  <c r="T49" i="23" s="1"/>
  <c r="BJ48" i="23"/>
  <c r="H49" i="23" s="1"/>
  <c r="Y49" i="23" s="1"/>
  <c r="BD48" i="23"/>
  <c r="BH48" i="23"/>
  <c r="F49" i="23" s="1"/>
  <c r="W49" i="23" s="1"/>
  <c r="Z57" i="29"/>
  <c r="AG57" i="29" s="1"/>
  <c r="B58" i="29"/>
  <c r="AP55" i="21"/>
  <c r="S56" i="24"/>
  <c r="I56" i="24"/>
  <c r="J56" i="24" s="1"/>
  <c r="K56" i="24" s="1"/>
  <c r="L56" i="24" s="1"/>
  <c r="BT55" i="24"/>
  <c r="AM55" i="24"/>
  <c r="BA55" i="24"/>
  <c r="BB55" i="24"/>
  <c r="AJ55" i="24"/>
  <c r="AK55" i="24"/>
  <c r="AN55" i="24"/>
  <c r="BU55" i="24"/>
  <c r="BV55" i="24"/>
  <c r="AD55" i="24"/>
  <c r="AA55" i="24"/>
  <c r="AB55" i="24" s="1"/>
  <c r="AC55" i="24" s="1"/>
  <c r="BR55" i="24"/>
  <c r="BQ55" i="24"/>
  <c r="P57" i="19"/>
  <c r="AO48" i="26"/>
  <c r="AA53" i="22"/>
  <c r="AB53" i="22" s="1"/>
  <c r="AC53" i="22" s="1"/>
  <c r="BK53" i="22"/>
  <c r="AD53" i="22"/>
  <c r="BA53" i="22"/>
  <c r="AM53" i="22"/>
  <c r="AI53" i="22"/>
  <c r="AN53" i="22"/>
  <c r="Y57" i="7"/>
  <c r="BD48" i="26"/>
  <c r="BH48" i="26"/>
  <c r="BE48" i="26"/>
  <c r="BJ48" i="26"/>
  <c r="H49" i="26" s="1"/>
  <c r="Y49" i="26" s="1"/>
  <c r="AO48" i="23"/>
  <c r="S57" i="19"/>
  <c r="AF57" i="19"/>
  <c r="AH55" i="24"/>
  <c r="AP48" i="20"/>
  <c r="AN56" i="29"/>
  <c r="I58" i="7"/>
  <c r="V58" i="7" s="1"/>
  <c r="AC57" i="19"/>
  <c r="BO55" i="24"/>
  <c r="BD48" i="20"/>
  <c r="BE48" i="20"/>
  <c r="C49" i="20" s="1"/>
  <c r="T49" i="20" s="1"/>
  <c r="BH48" i="20"/>
  <c r="F49" i="20" s="1"/>
  <c r="W49" i="20" s="1"/>
  <c r="BJ48" i="20"/>
  <c r="H49" i="20" s="1"/>
  <c r="Y49" i="20" s="1"/>
  <c r="BJ54" i="10"/>
  <c r="H55" i="10" s="1"/>
  <c r="Y55" i="10" s="1"/>
  <c r="G71" i="21"/>
  <c r="X71" i="21" s="1"/>
  <c r="U57" i="19"/>
  <c r="AT61" i="4"/>
  <c r="J61" i="4"/>
  <c r="K61" i="4" s="1"/>
  <c r="L61" i="4" s="1"/>
  <c r="B21" i="14"/>
  <c r="AJ61" i="4"/>
  <c r="E71" i="21"/>
  <c r="V71" i="21" s="1"/>
  <c r="BI54" i="10"/>
  <c r="G55" i="10" s="1"/>
  <c r="X55" i="10" s="1"/>
  <c r="AI57" i="19"/>
  <c r="Y59" i="4"/>
  <c r="J72" i="28"/>
  <c r="K72" i="28" s="1"/>
  <c r="L72" i="28" s="1"/>
  <c r="S72" i="28"/>
  <c r="R72" i="28"/>
  <c r="V72" i="28"/>
  <c r="U72" i="28"/>
  <c r="AC61" i="4"/>
  <c r="S57" i="21"/>
  <c r="I57" i="21"/>
  <c r="J57" i="21" s="1"/>
  <c r="K57" i="21" s="1"/>
  <c r="L57" i="21" s="1"/>
  <c r="D71" i="21"/>
  <c r="U71" i="21" s="1"/>
  <c r="AM58" i="12"/>
  <c r="AV58" i="12"/>
  <c r="D59" i="12" s="1"/>
  <c r="U59" i="12" s="1"/>
  <c r="AA58" i="12"/>
  <c r="AB58" i="12" s="1"/>
  <c r="AC58" i="12" s="1"/>
  <c r="BR58" i="12"/>
  <c r="AJ58" i="12"/>
  <c r="AZ58" i="12"/>
  <c r="H59" i="12" s="1"/>
  <c r="Y59" i="12" s="1"/>
  <c r="AD58" i="12"/>
  <c r="AH58" i="12"/>
  <c r="AT58" i="12"/>
  <c r="B59" i="12" s="1"/>
  <c r="BA58" i="12"/>
  <c r="BQ58" i="12"/>
  <c r="BV58" i="12"/>
  <c r="AY58" i="12"/>
  <c r="G59" i="12" s="1"/>
  <c r="X59" i="12" s="1"/>
  <c r="AW58" i="12"/>
  <c r="E59" i="12" s="1"/>
  <c r="V59" i="12" s="1"/>
  <c r="AK58" i="12"/>
  <c r="BO58" i="12"/>
  <c r="BT58" i="12"/>
  <c r="U54" i="10"/>
  <c r="V54" i="10"/>
  <c r="AE57" i="19"/>
  <c r="H71" i="21"/>
  <c r="Y71" i="21" s="1"/>
  <c r="I76" i="28"/>
  <c r="I73" i="28"/>
  <c r="X71" i="28"/>
  <c r="W71" i="28"/>
  <c r="AJ57" i="19"/>
  <c r="AM57" i="19"/>
  <c r="B58" i="19" s="1"/>
  <c r="AR57" i="19"/>
  <c r="G58" i="19" s="1"/>
  <c r="AP57" i="19"/>
  <c r="E58" i="19" s="1"/>
  <c r="J57" i="19"/>
  <c r="K57" i="19" s="1"/>
  <c r="L57" i="19" s="1"/>
  <c r="AO57" i="19"/>
  <c r="D58" i="19" s="1"/>
  <c r="AT57" i="19"/>
  <c r="AU57" i="19" s="1"/>
  <c r="AS57" i="19"/>
  <c r="H58" i="19" s="1"/>
  <c r="BU58" i="12"/>
  <c r="B54" i="10"/>
  <c r="BL53" i="10"/>
  <c r="AD56" i="21"/>
  <c r="AA56" i="21"/>
  <c r="AB56" i="21" s="1"/>
  <c r="AC56" i="21" s="1"/>
  <c r="AL56" i="21"/>
  <c r="AM56" i="21"/>
  <c r="AI56" i="21"/>
  <c r="AJ56" i="21"/>
  <c r="R57" i="19"/>
  <c r="AH57" i="19"/>
  <c r="P61" i="4"/>
  <c r="Y56" i="19"/>
  <c r="V74" i="1" l="1"/>
  <c r="P74" i="1"/>
  <c r="J74" i="1"/>
  <c r="K74" i="1" s="1"/>
  <c r="L74" i="1" s="1"/>
  <c r="U74" i="1"/>
  <c r="S74" i="1"/>
  <c r="I75" i="1"/>
  <c r="P74" i="28"/>
  <c r="J74" i="28"/>
  <c r="K74" i="28" s="1"/>
  <c r="L74" i="28" s="1"/>
  <c r="S74" i="28"/>
  <c r="R74" i="28"/>
  <c r="W74" i="28" s="1"/>
  <c r="V74" i="28"/>
  <c r="U74" i="28"/>
  <c r="I75" i="28"/>
  <c r="I82" i="28" s="1"/>
  <c r="AP56" i="29"/>
  <c r="AQ48" i="26"/>
  <c r="Y60" i="4"/>
  <c r="I77" i="1"/>
  <c r="C33" i="14"/>
  <c r="U57" i="25"/>
  <c r="AF57" i="25"/>
  <c r="AH57" i="25"/>
  <c r="Y56" i="25"/>
  <c r="AQ48" i="20"/>
  <c r="AC57" i="25"/>
  <c r="Y71" i="1"/>
  <c r="AI57" i="25"/>
  <c r="P57" i="25"/>
  <c r="X72" i="1"/>
  <c r="W72" i="1"/>
  <c r="S73" i="1"/>
  <c r="J73" i="1"/>
  <c r="V73" i="1"/>
  <c r="U73" i="1"/>
  <c r="P73" i="1"/>
  <c r="AQ48" i="23"/>
  <c r="R73" i="1"/>
  <c r="W57" i="19"/>
  <c r="AO56" i="9"/>
  <c r="S57" i="25"/>
  <c r="V57" i="25"/>
  <c r="AN56" i="9"/>
  <c r="AP53" i="22"/>
  <c r="B58" i="9"/>
  <c r="Z57" i="9"/>
  <c r="AG57" i="9" s="1"/>
  <c r="X72" i="28"/>
  <c r="R57" i="25"/>
  <c r="AO57" i="25"/>
  <c r="D58" i="25" s="1"/>
  <c r="AP57" i="25"/>
  <c r="E58" i="25" s="1"/>
  <c r="AM57" i="25"/>
  <c r="B58" i="25" s="1"/>
  <c r="AJ57" i="25"/>
  <c r="AS57" i="25"/>
  <c r="H58" i="25" s="1"/>
  <c r="AR57" i="25"/>
  <c r="G58" i="25" s="1"/>
  <c r="J57" i="25"/>
  <c r="K57" i="25" s="1"/>
  <c r="L57" i="25" s="1"/>
  <c r="AT57" i="25"/>
  <c r="AU57" i="25" s="1"/>
  <c r="R58" i="7"/>
  <c r="U58" i="7"/>
  <c r="D18" i="14"/>
  <c r="AD58" i="7"/>
  <c r="D59" i="7" s="1"/>
  <c r="AD59" i="7" s="1"/>
  <c r="D60" i="7" s="1"/>
  <c r="AD60" i="7" s="1"/>
  <c r="D61" i="7" s="1"/>
  <c r="AD61" i="7" s="1"/>
  <c r="D62" i="7" s="1"/>
  <c r="S58" i="7"/>
  <c r="AE58" i="7"/>
  <c r="E59" i="7" s="1"/>
  <c r="AE59" i="7" s="1"/>
  <c r="E60" i="7" s="1"/>
  <c r="AE60" i="7" s="1"/>
  <c r="E61" i="7" s="1"/>
  <c r="AE61" i="7" s="1"/>
  <c r="E62" i="7" s="1"/>
  <c r="AB58" i="7"/>
  <c r="AH58" i="7"/>
  <c r="H59" i="7" s="1"/>
  <c r="AH59" i="7" s="1"/>
  <c r="H60" i="7" s="1"/>
  <c r="AH60" i="7" s="1"/>
  <c r="H61" i="7" s="1"/>
  <c r="AH61" i="7" s="1"/>
  <c r="H62" i="7" s="1"/>
  <c r="AG58" i="7"/>
  <c r="G59" i="7" s="1"/>
  <c r="AG59" i="7" s="1"/>
  <c r="G60" i="7" s="1"/>
  <c r="AG60" i="7" s="1"/>
  <c r="G61" i="7" s="1"/>
  <c r="AG61" i="7" s="1"/>
  <c r="G62" i="7" s="1"/>
  <c r="P58" i="7"/>
  <c r="J58" i="7"/>
  <c r="K58" i="7" s="1"/>
  <c r="L58" i="7" s="1"/>
  <c r="BD53" i="22"/>
  <c r="BJ53" i="22"/>
  <c r="H54" i="22" s="1"/>
  <c r="Y54" i="22" s="1"/>
  <c r="BI53" i="22"/>
  <c r="G54" i="22" s="1"/>
  <c r="X54" i="22" s="1"/>
  <c r="BE53" i="22"/>
  <c r="Z56" i="24"/>
  <c r="AH56" i="24" s="1"/>
  <c r="Y71" i="28"/>
  <c r="AO53" i="22"/>
  <c r="B49" i="23"/>
  <c r="BL48" i="23"/>
  <c r="B49" i="20"/>
  <c r="BL48" i="20"/>
  <c r="B49" i="26"/>
  <c r="BL48" i="26"/>
  <c r="W72" i="28"/>
  <c r="AO55" i="24"/>
  <c r="AP55" i="24"/>
  <c r="S58" i="29"/>
  <c r="I58" i="29"/>
  <c r="J58" i="29" s="1"/>
  <c r="K58" i="29" s="1"/>
  <c r="L58" i="29" s="1"/>
  <c r="BB58" i="12"/>
  <c r="AJ57" i="29"/>
  <c r="AA57" i="29"/>
  <c r="AB57" i="29" s="1"/>
  <c r="AC57" i="29" s="1"/>
  <c r="AI57" i="29"/>
  <c r="AL57" i="29"/>
  <c r="AM57" i="29"/>
  <c r="AD57" i="29"/>
  <c r="AO56" i="21"/>
  <c r="M12" i="8"/>
  <c r="U12" i="8" s="1"/>
  <c r="I77" i="28"/>
  <c r="BG54" i="10"/>
  <c r="E55" i="10" s="1"/>
  <c r="V55" i="10" s="1"/>
  <c r="S59" i="12"/>
  <c r="I59" i="12"/>
  <c r="J59" i="12" s="1"/>
  <c r="K59" i="12" s="1"/>
  <c r="L59" i="12" s="1"/>
  <c r="B58" i="21"/>
  <c r="Z57" i="21"/>
  <c r="AG57" i="21" s="1"/>
  <c r="BI55" i="10"/>
  <c r="G56" i="10" s="1"/>
  <c r="X56" i="10" s="1"/>
  <c r="X57" i="19"/>
  <c r="I58" i="19"/>
  <c r="P58" i="19" s="1"/>
  <c r="BF54" i="10"/>
  <c r="D55" i="10" s="1"/>
  <c r="U55" i="10" s="1"/>
  <c r="AP58" i="12"/>
  <c r="AO58" i="12"/>
  <c r="BJ55" i="10"/>
  <c r="H56" i="10" s="1"/>
  <c r="Y56" i="10" s="1"/>
  <c r="W61" i="4"/>
  <c r="X61" i="4"/>
  <c r="S54" i="10"/>
  <c r="I54" i="10"/>
  <c r="J54" i="10" s="1"/>
  <c r="K54" i="10" s="1"/>
  <c r="L54" i="10" s="1"/>
  <c r="J73" i="28"/>
  <c r="K73" i="28" s="1"/>
  <c r="L73" i="28" s="1"/>
  <c r="S73" i="28"/>
  <c r="R73" i="28"/>
  <c r="R76" i="28" s="1"/>
  <c r="V73" i="28"/>
  <c r="U73" i="28"/>
  <c r="U76" i="28" s="1"/>
  <c r="H72" i="21"/>
  <c r="Y72" i="21" s="1"/>
  <c r="AN56" i="21"/>
  <c r="AW59" i="12"/>
  <c r="E60" i="12" s="1"/>
  <c r="V60" i="12" s="1"/>
  <c r="D72" i="21"/>
  <c r="U72" i="21" s="1"/>
  <c r="AM61" i="4"/>
  <c r="B62" i="4" s="1"/>
  <c r="AU61" i="4"/>
  <c r="AO61" i="4"/>
  <c r="D62" i="4" s="1"/>
  <c r="AS61" i="4"/>
  <c r="H62" i="4" s="1"/>
  <c r="AP61" i="4"/>
  <c r="E62" i="4" s="1"/>
  <c r="AR61" i="4"/>
  <c r="G62" i="4" s="1"/>
  <c r="P73" i="28"/>
  <c r="P76" i="28" s="1"/>
  <c r="AY59" i="12"/>
  <c r="G60" i="12" s="1"/>
  <c r="X60" i="12" s="1"/>
  <c r="AZ59" i="12"/>
  <c r="H60" i="12" s="1"/>
  <c r="Y60" i="12" s="1"/>
  <c r="AV59" i="12"/>
  <c r="D60" i="12" s="1"/>
  <c r="U60" i="12" s="1"/>
  <c r="E72" i="21"/>
  <c r="V72" i="21" s="1"/>
  <c r="G72" i="21"/>
  <c r="X72" i="21" s="1"/>
  <c r="E54" i="22" l="1"/>
  <c r="D54" i="22"/>
  <c r="R75" i="1"/>
  <c r="R76" i="1" s="1"/>
  <c r="I84" i="1"/>
  <c r="I79" i="1" s="1"/>
  <c r="C15" i="8" s="1"/>
  <c r="R15" i="8" s="1"/>
  <c r="U75" i="1"/>
  <c r="U76" i="1" s="1"/>
  <c r="P75" i="1"/>
  <c r="P76" i="1" s="1"/>
  <c r="J75" i="1"/>
  <c r="K75" i="1" s="1"/>
  <c r="L75" i="1" s="1"/>
  <c r="V75" i="1"/>
  <c r="V76" i="1" s="1"/>
  <c r="C19" i="8" s="1"/>
  <c r="S75" i="1"/>
  <c r="W74" i="1"/>
  <c r="X74" i="1"/>
  <c r="I82" i="1"/>
  <c r="J75" i="28"/>
  <c r="K75" i="28" s="1"/>
  <c r="L75" i="28" s="1"/>
  <c r="S75" i="28"/>
  <c r="R75" i="28"/>
  <c r="V75" i="28"/>
  <c r="U75" i="28"/>
  <c r="I84" i="28"/>
  <c r="I79" i="28" s="1"/>
  <c r="M15" i="8" s="1"/>
  <c r="U15" i="8" s="1"/>
  <c r="P75" i="28"/>
  <c r="X74" i="28"/>
  <c r="Y74" i="28" s="1"/>
  <c r="I83" i="28"/>
  <c r="I78" i="28"/>
  <c r="M14" i="8" s="1"/>
  <c r="U14" i="8" s="1"/>
  <c r="C13" i="8"/>
  <c r="R13" i="8" s="1"/>
  <c r="Y72" i="1"/>
  <c r="AQ53" i="22"/>
  <c r="AP56" i="9"/>
  <c r="AP56" i="21"/>
  <c r="U58" i="19"/>
  <c r="AF58" i="19"/>
  <c r="X57" i="25"/>
  <c r="K73" i="1"/>
  <c r="L73" i="1" s="1"/>
  <c r="Y57" i="19"/>
  <c r="X73" i="1"/>
  <c r="W73" i="1"/>
  <c r="M19" i="8"/>
  <c r="V76" i="28"/>
  <c r="S58" i="19"/>
  <c r="W57" i="25"/>
  <c r="AI58" i="19"/>
  <c r="AE58" i="19"/>
  <c r="I58" i="25"/>
  <c r="R58" i="25" s="1"/>
  <c r="AJ57" i="9"/>
  <c r="AI57" i="9"/>
  <c r="AD57" i="9"/>
  <c r="AL57" i="9"/>
  <c r="AM57" i="9"/>
  <c r="AA57" i="9"/>
  <c r="AB57" i="9" s="1"/>
  <c r="AC57" i="9" s="1"/>
  <c r="R58" i="19"/>
  <c r="AO57" i="29"/>
  <c r="Y72" i="28"/>
  <c r="S58" i="9"/>
  <c r="I58" i="9"/>
  <c r="J58" i="9" s="1"/>
  <c r="K58" i="9" s="1"/>
  <c r="L58" i="9" s="1"/>
  <c r="V58" i="19"/>
  <c r="AN57" i="29"/>
  <c r="X58" i="7"/>
  <c r="W58" i="7"/>
  <c r="I49" i="23"/>
  <c r="J49" i="23" s="1"/>
  <c r="K49" i="23" s="1"/>
  <c r="L49" i="23" s="1"/>
  <c r="S49" i="23"/>
  <c r="V54" i="22"/>
  <c r="U54" i="22"/>
  <c r="AM56" i="24"/>
  <c r="AD56" i="24"/>
  <c r="AK56" i="24"/>
  <c r="AZ56" i="24"/>
  <c r="H57" i="24" s="1"/>
  <c r="BQ56" i="24"/>
  <c r="AA56" i="24"/>
  <c r="AB56" i="24" s="1"/>
  <c r="AC56" i="24" s="1"/>
  <c r="BA56" i="24"/>
  <c r="BT56" i="24"/>
  <c r="BV56" i="24"/>
  <c r="BU56" i="24"/>
  <c r="AN56" i="24"/>
  <c r="BR56" i="24"/>
  <c r="AJ56" i="24"/>
  <c r="AH58" i="19"/>
  <c r="Z58" i="29"/>
  <c r="AG58" i="29" s="1"/>
  <c r="B59" i="29"/>
  <c r="S49" i="26"/>
  <c r="I49" i="26"/>
  <c r="J49" i="26" s="1"/>
  <c r="K49" i="26" s="1"/>
  <c r="L49" i="26" s="1"/>
  <c r="BI54" i="22"/>
  <c r="G55" i="22" s="1"/>
  <c r="X55" i="22" s="1"/>
  <c r="BJ54" i="22"/>
  <c r="H55" i="22" s="1"/>
  <c r="Y55" i="22" s="1"/>
  <c r="B59" i="7"/>
  <c r="AI58" i="7"/>
  <c r="AJ58" i="7" s="1"/>
  <c r="AQ58" i="12"/>
  <c r="AQ55" i="24"/>
  <c r="I49" i="20"/>
  <c r="J49" i="20" s="1"/>
  <c r="K49" i="20" s="1"/>
  <c r="L49" i="20" s="1"/>
  <c r="S49" i="20"/>
  <c r="BO56" i="24"/>
  <c r="B54" i="22"/>
  <c r="BL53" i="22"/>
  <c r="BJ56" i="10"/>
  <c r="H57" i="10" s="1"/>
  <c r="Y57" i="10" s="1"/>
  <c r="BI56" i="10"/>
  <c r="G57" i="10" s="1"/>
  <c r="X57" i="10" s="1"/>
  <c r="S58" i="21"/>
  <c r="I58" i="21"/>
  <c r="J58" i="21" s="1"/>
  <c r="K58" i="21" s="1"/>
  <c r="L58" i="21" s="1"/>
  <c r="M13" i="8"/>
  <c r="U13" i="8" s="1"/>
  <c r="AZ60" i="12"/>
  <c r="H61" i="12" s="1"/>
  <c r="Y61" i="12" s="1"/>
  <c r="W73" i="28"/>
  <c r="W76" i="28" s="1"/>
  <c r="X73" i="28"/>
  <c r="X76" i="28" s="1"/>
  <c r="AP62" i="4"/>
  <c r="E63" i="4" s="1"/>
  <c r="I62" i="4"/>
  <c r="AH62" i="4" s="1"/>
  <c r="AM62" i="4"/>
  <c r="B63" i="4" s="1"/>
  <c r="D73" i="21"/>
  <c r="U73" i="21" s="1"/>
  <c r="H73" i="21"/>
  <c r="Y73" i="21" s="1"/>
  <c r="BF55" i="10"/>
  <c r="D56" i="10" s="1"/>
  <c r="U56" i="10" s="1"/>
  <c r="AH62" i="7"/>
  <c r="H63" i="7" s="1"/>
  <c r="AS58" i="19"/>
  <c r="H59" i="19" s="1"/>
  <c r="AJ58" i="19"/>
  <c r="AP58" i="19"/>
  <c r="E59" i="19" s="1"/>
  <c r="AT58" i="19"/>
  <c r="AU58" i="19" s="1"/>
  <c r="AO58" i="19"/>
  <c r="D59" i="19" s="1"/>
  <c r="AM58" i="19"/>
  <c r="B59" i="19" s="1"/>
  <c r="AR58" i="19"/>
  <c r="G59" i="19" s="1"/>
  <c r="J58" i="19"/>
  <c r="K58" i="19" s="1"/>
  <c r="L58" i="19" s="1"/>
  <c r="G73" i="21"/>
  <c r="X73" i="21" s="1"/>
  <c r="AR62" i="4"/>
  <c r="G63" i="4" s="1"/>
  <c r="AV60" i="12"/>
  <c r="D61" i="12" s="1"/>
  <c r="U61" i="12" s="1"/>
  <c r="AS62" i="4"/>
  <c r="H63" i="4" s="1"/>
  <c r="BD54" i="10"/>
  <c r="B55" i="10" s="1"/>
  <c r="Z54" i="10"/>
  <c r="AT54" i="10" s="1"/>
  <c r="Y61" i="4"/>
  <c r="AG62" i="7"/>
  <c r="G63" i="7" s="1"/>
  <c r="AC58" i="19"/>
  <c r="AD57" i="21"/>
  <c r="AA57" i="21"/>
  <c r="AB57" i="21" s="1"/>
  <c r="AC57" i="21" s="1"/>
  <c r="AI57" i="21"/>
  <c r="AM57" i="21"/>
  <c r="AJ57" i="21"/>
  <c r="AL57" i="21"/>
  <c r="Z59" i="12"/>
  <c r="BO59" i="12" s="1"/>
  <c r="AT59" i="12"/>
  <c r="B60" i="12" s="1"/>
  <c r="E73" i="21"/>
  <c r="V73" i="21" s="1"/>
  <c r="AY60" i="12"/>
  <c r="G61" i="12" s="1"/>
  <c r="X61" i="12" s="1"/>
  <c r="AE62" i="7"/>
  <c r="E63" i="7" s="1"/>
  <c r="AO62" i="4"/>
  <c r="D63" i="4" s="1"/>
  <c r="AW60" i="12"/>
  <c r="E61" i="12" s="1"/>
  <c r="V61" i="12" s="1"/>
  <c r="AD62" i="7"/>
  <c r="D63" i="7" s="1"/>
  <c r="BG55" i="10"/>
  <c r="E56" i="10" s="1"/>
  <c r="V56" i="10" s="1"/>
  <c r="H74" i="21" l="1"/>
  <c r="Y74" i="21" s="1"/>
  <c r="E74" i="21"/>
  <c r="V74" i="21" s="1"/>
  <c r="D74" i="21"/>
  <c r="U74" i="21" s="1"/>
  <c r="G74" i="21"/>
  <c r="AE62" i="4"/>
  <c r="AI62" i="4"/>
  <c r="I86" i="1"/>
  <c r="Y74" i="1"/>
  <c r="W75" i="1"/>
  <c r="X75" i="1"/>
  <c r="X76" i="1" s="1"/>
  <c r="X78" i="1" s="1"/>
  <c r="V78" i="1"/>
  <c r="I83" i="1"/>
  <c r="W75" i="28"/>
  <c r="X75" i="28"/>
  <c r="R19" i="8"/>
  <c r="V78" i="28"/>
  <c r="I86" i="28"/>
  <c r="U19" i="8" s="1"/>
  <c r="X78" i="28"/>
  <c r="I85" i="28"/>
  <c r="Y57" i="25"/>
  <c r="I78" i="1"/>
  <c r="C14" i="8" s="1"/>
  <c r="R14" i="8" s="1"/>
  <c r="Y58" i="7"/>
  <c r="W58" i="19"/>
  <c r="X58" i="19"/>
  <c r="R62" i="4"/>
  <c r="S58" i="25"/>
  <c r="AO56" i="24"/>
  <c r="W76" i="1"/>
  <c r="Y73" i="1"/>
  <c r="Y76" i="1" s="1"/>
  <c r="AI58" i="25"/>
  <c r="AC58" i="25"/>
  <c r="V58" i="25"/>
  <c r="M18" i="8"/>
  <c r="U18" i="8" s="1"/>
  <c r="AF58" i="25"/>
  <c r="P62" i="4"/>
  <c r="AO57" i="9"/>
  <c r="U58" i="25"/>
  <c r="AP58" i="25"/>
  <c r="E59" i="25" s="1"/>
  <c r="AS58" i="25"/>
  <c r="H59" i="25" s="1"/>
  <c r="AR58" i="25"/>
  <c r="G59" i="25" s="1"/>
  <c r="AM58" i="25"/>
  <c r="B59" i="25" s="1"/>
  <c r="J58" i="25"/>
  <c r="K58" i="25" s="1"/>
  <c r="L58" i="25" s="1"/>
  <c r="AO58" i="25"/>
  <c r="D59" i="25" s="1"/>
  <c r="AJ58" i="25"/>
  <c r="AT58" i="25"/>
  <c r="AU58" i="25" s="1"/>
  <c r="P58" i="25"/>
  <c r="AP57" i="29"/>
  <c r="AN57" i="9"/>
  <c r="AH58" i="25"/>
  <c r="Z58" i="9"/>
  <c r="B59" i="9"/>
  <c r="AE58" i="25"/>
  <c r="BI55" i="22"/>
  <c r="G56" i="22" s="1"/>
  <c r="X56" i="22" s="1"/>
  <c r="BI56" i="22" s="1"/>
  <c r="G57" i="22" s="1"/>
  <c r="X57" i="22" s="1"/>
  <c r="Y73" i="28"/>
  <c r="Y76" i="28" s="1"/>
  <c r="Z49" i="26"/>
  <c r="AT49" i="26" s="1"/>
  <c r="Y57" i="24"/>
  <c r="I57" i="24"/>
  <c r="J57" i="24" s="1"/>
  <c r="K57" i="24" s="1"/>
  <c r="L57" i="24" s="1"/>
  <c r="Z49" i="20"/>
  <c r="AH49" i="20" s="1"/>
  <c r="BJ55" i="22"/>
  <c r="H56" i="22" s="1"/>
  <c r="Y56" i="22" s="1"/>
  <c r="BJ56" i="22" s="1"/>
  <c r="H57" i="22" s="1"/>
  <c r="Y57" i="22" s="1"/>
  <c r="S59" i="29"/>
  <c r="I59" i="29"/>
  <c r="J59" i="29" s="1"/>
  <c r="K59" i="29" s="1"/>
  <c r="L59" i="29" s="1"/>
  <c r="I59" i="7"/>
  <c r="P59" i="7" s="1"/>
  <c r="AB59" i="7"/>
  <c r="AN57" i="21"/>
  <c r="AD58" i="29"/>
  <c r="AI58" i="29"/>
  <c r="AJ58" i="29"/>
  <c r="AM58" i="29"/>
  <c r="AA58" i="29"/>
  <c r="AB58" i="29" s="1"/>
  <c r="AC58" i="29" s="1"/>
  <c r="AL58" i="29"/>
  <c r="BF54" i="22"/>
  <c r="D55" i="22" s="1"/>
  <c r="U55" i="22" s="1"/>
  <c r="BG54" i="22"/>
  <c r="E55" i="22" s="1"/>
  <c r="V55" i="22" s="1"/>
  <c r="AP56" i="24"/>
  <c r="I54" i="22"/>
  <c r="S54" i="22"/>
  <c r="AO57" i="21"/>
  <c r="BB56" i="24"/>
  <c r="Z49" i="23"/>
  <c r="AW61" i="12"/>
  <c r="E62" i="12" s="1"/>
  <c r="V62" i="12" s="1"/>
  <c r="BK54" i="10"/>
  <c r="BA54" i="10"/>
  <c r="AD54" i="10"/>
  <c r="AA54" i="10"/>
  <c r="AB54" i="10" s="1"/>
  <c r="AC54" i="10" s="1"/>
  <c r="BL54" i="10"/>
  <c r="AN54" i="10"/>
  <c r="AM54" i="10"/>
  <c r="AJ54" i="10"/>
  <c r="AK54" i="10"/>
  <c r="AW54" i="10"/>
  <c r="AV61" i="12"/>
  <c r="D62" i="12" s="1"/>
  <c r="U62" i="12" s="1"/>
  <c r="I59" i="19"/>
  <c r="P59" i="19" s="1"/>
  <c r="AT62" i="4"/>
  <c r="AU62" i="4" s="1"/>
  <c r="AJ62" i="4"/>
  <c r="J62" i="4"/>
  <c r="K62" i="4" s="1"/>
  <c r="L62" i="4" s="1"/>
  <c r="B22" i="14"/>
  <c r="S62" i="4"/>
  <c r="BB59" i="12"/>
  <c r="BA59" i="12"/>
  <c r="AD59" i="12"/>
  <c r="AA59" i="12"/>
  <c r="AB59" i="12" s="1"/>
  <c r="AC59" i="12" s="1"/>
  <c r="BV59" i="12"/>
  <c r="BU59" i="12"/>
  <c r="AJ59" i="12"/>
  <c r="BT59" i="12"/>
  <c r="BR59" i="12"/>
  <c r="AM59" i="12"/>
  <c r="AK59" i="12"/>
  <c r="AN59" i="12"/>
  <c r="BQ59" i="12"/>
  <c r="I60" i="12"/>
  <c r="J60" i="12" s="1"/>
  <c r="K60" i="12" s="1"/>
  <c r="L60" i="12" s="1"/>
  <c r="S60" i="12"/>
  <c r="I55" i="10"/>
  <c r="J55" i="10" s="1"/>
  <c r="K55" i="10" s="1"/>
  <c r="L55" i="10" s="1"/>
  <c r="S55" i="10"/>
  <c r="V62" i="4"/>
  <c r="U62" i="4"/>
  <c r="BF56" i="10"/>
  <c r="D57" i="10" s="1"/>
  <c r="U57" i="10" s="1"/>
  <c r="I63" i="4"/>
  <c r="R63" i="4" s="1"/>
  <c r="AZ61" i="12"/>
  <c r="H62" i="12" s="1"/>
  <c r="Y62" i="12" s="1"/>
  <c r="BG56" i="10"/>
  <c r="E57" i="10" s="1"/>
  <c r="V57" i="10" s="1"/>
  <c r="AY61" i="12"/>
  <c r="G62" i="12" s="1"/>
  <c r="X62" i="12" s="1"/>
  <c r="AH59" i="12"/>
  <c r="AH54" i="10"/>
  <c r="AC62" i="4"/>
  <c r="AF62" i="4"/>
  <c r="B59" i="21"/>
  <c r="Z58" i="21"/>
  <c r="AT49" i="23" l="1"/>
  <c r="AU49" i="23"/>
  <c r="H75" i="21"/>
  <c r="E75" i="21"/>
  <c r="V75" i="21" s="1"/>
  <c r="X74" i="21"/>
  <c r="G75" i="21" s="1"/>
  <c r="AE63" i="4"/>
  <c r="AH63" i="4"/>
  <c r="AI63" i="4"/>
  <c r="D75" i="21"/>
  <c r="U75" i="21" s="1"/>
  <c r="C18" i="8"/>
  <c r="R18" i="8" s="1"/>
  <c r="I85" i="1"/>
  <c r="Y75" i="1"/>
  <c r="Y75" i="28"/>
  <c r="R59" i="19"/>
  <c r="Y58" i="19"/>
  <c r="J54" i="22"/>
  <c r="K54" i="22" s="1"/>
  <c r="L54" i="22" s="1"/>
  <c r="U63" i="4"/>
  <c r="S63" i="4"/>
  <c r="W58" i="25"/>
  <c r="AQ56" i="24"/>
  <c r="AH59" i="19"/>
  <c r="AF63" i="4"/>
  <c r="AF59" i="19"/>
  <c r="V59" i="19"/>
  <c r="S59" i="19"/>
  <c r="AI59" i="19"/>
  <c r="AO58" i="29"/>
  <c r="AP57" i="9"/>
  <c r="AA62" i="4"/>
  <c r="V63" i="4"/>
  <c r="I59" i="25"/>
  <c r="AC59" i="25" s="1"/>
  <c r="AE59" i="19"/>
  <c r="AH49" i="23"/>
  <c r="S59" i="9"/>
  <c r="I59" i="9"/>
  <c r="J59" i="9" s="1"/>
  <c r="K59" i="9" s="1"/>
  <c r="L59" i="9" s="1"/>
  <c r="U59" i="19"/>
  <c r="AG58" i="9"/>
  <c r="AL58" i="9"/>
  <c r="AA58" i="9"/>
  <c r="AB58" i="9" s="1"/>
  <c r="AC58" i="9" s="1"/>
  <c r="AM58" i="9"/>
  <c r="AI58" i="9"/>
  <c r="AD58" i="9"/>
  <c r="AJ58" i="9"/>
  <c r="X58" i="25"/>
  <c r="AI59" i="7"/>
  <c r="AJ59" i="7" s="1"/>
  <c r="B60" i="7"/>
  <c r="V59" i="7"/>
  <c r="J59" i="7"/>
  <c r="K59" i="7" s="1"/>
  <c r="L59" i="7" s="1"/>
  <c r="D19" i="14"/>
  <c r="U59" i="7"/>
  <c r="S59" i="7"/>
  <c r="R59" i="7"/>
  <c r="AH49" i="26"/>
  <c r="BK49" i="26"/>
  <c r="AX49" i="26"/>
  <c r="BA49" i="26"/>
  <c r="AA49" i="26"/>
  <c r="AB49" i="26" s="1"/>
  <c r="AC49" i="26" s="1"/>
  <c r="AI49" i="26"/>
  <c r="AL49" i="26"/>
  <c r="AU49" i="26"/>
  <c r="AD49" i="26"/>
  <c r="AN49" i="26"/>
  <c r="AZ49" i="26"/>
  <c r="P63" i="4"/>
  <c r="AA49" i="23"/>
  <c r="AB49" i="23" s="1"/>
  <c r="AC49" i="23" s="1"/>
  <c r="AL49" i="23"/>
  <c r="AD49" i="23"/>
  <c r="BK49" i="23"/>
  <c r="BA49" i="23"/>
  <c r="AI49" i="23"/>
  <c r="AN49" i="23"/>
  <c r="AX49" i="23"/>
  <c r="BG55" i="22"/>
  <c r="E56" i="22" s="1"/>
  <c r="V56" i="22" s="1"/>
  <c r="AC59" i="19"/>
  <c r="AT49" i="20"/>
  <c r="Z57" i="24"/>
  <c r="AC63" i="4"/>
  <c r="AN58" i="29"/>
  <c r="BF55" i="22"/>
  <c r="D56" i="22" s="1"/>
  <c r="U56" i="22" s="1"/>
  <c r="BD54" i="22"/>
  <c r="B55" i="22" s="1"/>
  <c r="Z54" i="22"/>
  <c r="AH54" i="22" s="1"/>
  <c r="BK49" i="20"/>
  <c r="BA49" i="20"/>
  <c r="AD49" i="20"/>
  <c r="AA49" i="20"/>
  <c r="AB49" i="20" s="1"/>
  <c r="AC49" i="20" s="1"/>
  <c r="AZ49" i="20"/>
  <c r="AN49" i="20"/>
  <c r="AI49" i="20"/>
  <c r="AL49" i="20"/>
  <c r="AU49" i="20"/>
  <c r="AX49" i="20"/>
  <c r="W62" i="4"/>
  <c r="AP57" i="21"/>
  <c r="B60" i="29"/>
  <c r="Z59" i="29"/>
  <c r="AG59" i="29" s="1"/>
  <c r="AO54" i="10"/>
  <c r="AP54" i="10"/>
  <c r="Z60" i="12"/>
  <c r="AH60" i="12" s="1"/>
  <c r="AT60" i="12"/>
  <c r="B61" i="12" s="1"/>
  <c r="X62" i="4"/>
  <c r="S59" i="21"/>
  <c r="I59" i="21"/>
  <c r="J59" i="21" s="1"/>
  <c r="K59" i="21" s="1"/>
  <c r="L59" i="21" s="1"/>
  <c r="AP59" i="12"/>
  <c r="AO59" i="12"/>
  <c r="AY62" i="12"/>
  <c r="G63" i="12" s="1"/>
  <c r="X63" i="12" s="1"/>
  <c r="AZ62" i="12"/>
  <c r="H63" i="12" s="1"/>
  <c r="Y63" i="12" s="1"/>
  <c r="Z55" i="10"/>
  <c r="AT55" i="10" s="1"/>
  <c r="BD55" i="10"/>
  <c r="B56" i="10" s="1"/>
  <c r="AW62" i="12"/>
  <c r="E63" i="12" s="1"/>
  <c r="V63" i="12" s="1"/>
  <c r="AD58" i="21"/>
  <c r="AA58" i="21"/>
  <c r="AB58" i="21" s="1"/>
  <c r="AC58" i="21" s="1"/>
  <c r="AM58" i="21"/>
  <c r="AL58" i="21"/>
  <c r="AJ58" i="21"/>
  <c r="AI58" i="21"/>
  <c r="AG58" i="21"/>
  <c r="B23" i="14"/>
  <c r="AJ63" i="4"/>
  <c r="AT63" i="4"/>
  <c r="J63" i="4"/>
  <c r="AJ59" i="19"/>
  <c r="AO59" i="19"/>
  <c r="D60" i="19" s="1"/>
  <c r="AT59" i="19"/>
  <c r="AU59" i="19" s="1"/>
  <c r="AR59" i="19"/>
  <c r="G60" i="19" s="1"/>
  <c r="J59" i="19"/>
  <c r="K59" i="19" s="1"/>
  <c r="L59" i="19" s="1"/>
  <c r="AS59" i="19"/>
  <c r="H60" i="19" s="1"/>
  <c r="AM59" i="19"/>
  <c r="B60" i="19" s="1"/>
  <c r="AP59" i="19"/>
  <c r="E60" i="19" s="1"/>
  <c r="AV62" i="12"/>
  <c r="D63" i="12" s="1"/>
  <c r="U63" i="12" s="1"/>
  <c r="C20" i="8" l="1"/>
  <c r="Y75" i="21"/>
  <c r="Y76" i="21" s="1"/>
  <c r="V76" i="21"/>
  <c r="E76" i="21" s="1"/>
  <c r="X75" i="21"/>
  <c r="X76" i="21" s="1"/>
  <c r="G76" i="21" s="1"/>
  <c r="Y58" i="25"/>
  <c r="Y62" i="4"/>
  <c r="X63" i="4"/>
  <c r="AP58" i="29"/>
  <c r="V59" i="25"/>
  <c r="R59" i="25"/>
  <c r="AE59" i="25"/>
  <c r="W59" i="19"/>
  <c r="U59" i="25"/>
  <c r="AF59" i="25"/>
  <c r="AH59" i="25"/>
  <c r="S59" i="25"/>
  <c r="X59" i="19"/>
  <c r="P59" i="25"/>
  <c r="X59" i="7"/>
  <c r="AN58" i="9"/>
  <c r="AP49" i="26"/>
  <c r="AH55" i="10"/>
  <c r="AP49" i="23"/>
  <c r="Z59" i="9"/>
  <c r="AG59" i="9" s="1"/>
  <c r="B60" i="9"/>
  <c r="AO58" i="9"/>
  <c r="AT54" i="22"/>
  <c r="AI59" i="25"/>
  <c r="AT59" i="25"/>
  <c r="AU59" i="25" s="1"/>
  <c r="AS59" i="25"/>
  <c r="H60" i="25" s="1"/>
  <c r="AP59" i="25"/>
  <c r="E60" i="25" s="1"/>
  <c r="AJ59" i="25"/>
  <c r="J59" i="25"/>
  <c r="K59" i="25" s="1"/>
  <c r="L59" i="25" s="1"/>
  <c r="AO59" i="25"/>
  <c r="D60" i="25" s="1"/>
  <c r="AR59" i="25"/>
  <c r="G60" i="25" s="1"/>
  <c r="AM59" i="25"/>
  <c r="B60" i="25" s="1"/>
  <c r="AQ59" i="12"/>
  <c r="BF56" i="22"/>
  <c r="D57" i="22" s="1"/>
  <c r="U57" i="22" s="1"/>
  <c r="AO49" i="20"/>
  <c r="AN57" i="24"/>
  <c r="AJ57" i="24"/>
  <c r="BT57" i="24"/>
  <c r="BA57" i="24"/>
  <c r="AH57" i="24"/>
  <c r="BR57" i="24"/>
  <c r="AA57" i="24"/>
  <c r="AB57" i="24" s="1"/>
  <c r="AC57" i="24" s="1"/>
  <c r="AK57" i="24"/>
  <c r="AM57" i="24"/>
  <c r="AT57" i="24"/>
  <c r="B58" i="24" s="1"/>
  <c r="AV57" i="24"/>
  <c r="D58" i="24" s="1"/>
  <c r="U58" i="24" s="1"/>
  <c r="BO57" i="24"/>
  <c r="BQ57" i="24"/>
  <c r="AZ57" i="24"/>
  <c r="H58" i="24" s="1"/>
  <c r="Y58" i="24" s="1"/>
  <c r="AD57" i="24"/>
  <c r="AY57" i="24"/>
  <c r="G58" i="24" s="1"/>
  <c r="X58" i="24" s="1"/>
  <c r="BV57" i="24"/>
  <c r="AW57" i="24"/>
  <c r="E58" i="24" s="1"/>
  <c r="V58" i="24" s="1"/>
  <c r="BO60" i="12"/>
  <c r="AA59" i="29"/>
  <c r="AB59" i="29" s="1"/>
  <c r="AC59" i="29" s="1"/>
  <c r="AI59" i="29"/>
  <c r="AM59" i="29"/>
  <c r="AL59" i="29"/>
  <c r="AD59" i="29"/>
  <c r="AJ59" i="29"/>
  <c r="BU57" i="24"/>
  <c r="BE49" i="23"/>
  <c r="C50" i="23" s="1"/>
  <c r="T50" i="23" s="1"/>
  <c r="BD49" i="23"/>
  <c r="BH49" i="23"/>
  <c r="F50" i="23" s="1"/>
  <c r="W50" i="23" s="1"/>
  <c r="BJ49" i="23"/>
  <c r="H50" i="23" s="1"/>
  <c r="Y50" i="23" s="1"/>
  <c r="W63" i="4"/>
  <c r="I60" i="29"/>
  <c r="J60" i="29" s="1"/>
  <c r="K60" i="29" s="1"/>
  <c r="L60" i="29" s="1"/>
  <c r="S60" i="29"/>
  <c r="BK54" i="22"/>
  <c r="BL54" i="22"/>
  <c r="AA54" i="22"/>
  <c r="AB54" i="22" s="1"/>
  <c r="AC54" i="22" s="1"/>
  <c r="BA54" i="22"/>
  <c r="AD54" i="22"/>
  <c r="AM54" i="22"/>
  <c r="AN54" i="22"/>
  <c r="AJ54" i="22"/>
  <c r="AK54" i="22"/>
  <c r="AW54" i="22"/>
  <c r="BD49" i="26"/>
  <c r="BH49" i="26"/>
  <c r="BJ49" i="26"/>
  <c r="H50" i="26" s="1"/>
  <c r="Y50" i="26" s="1"/>
  <c r="BE49" i="26"/>
  <c r="I60" i="7"/>
  <c r="P60" i="7" s="1"/>
  <c r="AB60" i="7"/>
  <c r="I55" i="22"/>
  <c r="S55" i="22"/>
  <c r="BG56" i="22"/>
  <c r="E57" i="22" s="1"/>
  <c r="V57" i="22" s="1"/>
  <c r="AO49" i="26"/>
  <c r="AO49" i="23"/>
  <c r="W59" i="7"/>
  <c r="AP49" i="20"/>
  <c r="BE49" i="20"/>
  <c r="C50" i="20" s="1"/>
  <c r="T50" i="20" s="1"/>
  <c r="BH49" i="20"/>
  <c r="F50" i="20" s="1"/>
  <c r="W50" i="20" s="1"/>
  <c r="BD49" i="20"/>
  <c r="BJ49" i="20"/>
  <c r="H50" i="20" s="1"/>
  <c r="Y50" i="20" s="1"/>
  <c r="B60" i="21"/>
  <c r="Z59" i="21"/>
  <c r="AG59" i="21" s="1"/>
  <c r="AN58" i="21"/>
  <c r="AO58" i="21"/>
  <c r="S56" i="10"/>
  <c r="I56" i="10"/>
  <c r="J56" i="10" s="1"/>
  <c r="K56" i="10" s="1"/>
  <c r="L56" i="10" s="1"/>
  <c r="AQ54" i="10"/>
  <c r="AO63" i="4"/>
  <c r="D64" i="4" s="1"/>
  <c r="AS63" i="4"/>
  <c r="H64" i="4" s="1"/>
  <c r="AM63" i="4"/>
  <c r="B64" i="4" s="1"/>
  <c r="AP63" i="4"/>
  <c r="E64" i="4" s="1"/>
  <c r="AR63" i="4"/>
  <c r="G64" i="4" s="1"/>
  <c r="AU63" i="4"/>
  <c r="I60" i="19"/>
  <c r="AE60" i="19" s="1"/>
  <c r="S61" i="12"/>
  <c r="I61" i="12"/>
  <c r="J61" i="12" s="1"/>
  <c r="K61" i="12" s="1"/>
  <c r="L61" i="12" s="1"/>
  <c r="K63" i="4"/>
  <c r="I80" i="4"/>
  <c r="B16" i="8" s="1"/>
  <c r="Q16" i="8" s="1"/>
  <c r="AA55" i="10"/>
  <c r="AB55" i="10" s="1"/>
  <c r="AC55" i="10" s="1"/>
  <c r="BK55" i="10"/>
  <c r="AD55" i="10"/>
  <c r="BL55" i="10"/>
  <c r="BA55" i="10"/>
  <c r="AM55" i="10"/>
  <c r="AN55" i="10"/>
  <c r="AW55" i="10"/>
  <c r="AK55" i="10"/>
  <c r="AJ55" i="10"/>
  <c r="AA60" i="12"/>
  <c r="AB60" i="12" s="1"/>
  <c r="AC60" i="12" s="1"/>
  <c r="BV60" i="12"/>
  <c r="BA60" i="12"/>
  <c r="AD60" i="12"/>
  <c r="BB60" i="12"/>
  <c r="AN60" i="12"/>
  <c r="AJ60" i="12"/>
  <c r="BR60" i="12"/>
  <c r="BQ60" i="12"/>
  <c r="AM60" i="12"/>
  <c r="AK60" i="12"/>
  <c r="BU60" i="12"/>
  <c r="BT60" i="12"/>
  <c r="U76" i="21" l="1"/>
  <c r="D76" i="21" s="1"/>
  <c r="Y63" i="4"/>
  <c r="AQ49" i="26"/>
  <c r="J55" i="22"/>
  <c r="K55" i="22" s="1"/>
  <c r="L55" i="22" s="1"/>
  <c r="X59" i="25"/>
  <c r="Y59" i="19"/>
  <c r="AQ49" i="23"/>
  <c r="W59" i="25"/>
  <c r="Y59" i="7"/>
  <c r="AQ49" i="20"/>
  <c r="S60" i="9"/>
  <c r="I60" i="9"/>
  <c r="J60" i="9" s="1"/>
  <c r="K60" i="9" s="1"/>
  <c r="L60" i="9" s="1"/>
  <c r="AD59" i="9"/>
  <c r="AI59" i="9"/>
  <c r="AL59" i="9"/>
  <c r="AA59" i="9"/>
  <c r="AB59" i="9" s="1"/>
  <c r="AC59" i="9" s="1"/>
  <c r="AJ59" i="9"/>
  <c r="AM59" i="9"/>
  <c r="I60" i="25"/>
  <c r="AC60" i="25" s="1"/>
  <c r="AO54" i="22"/>
  <c r="AP58" i="9"/>
  <c r="AO60" i="12"/>
  <c r="BD55" i="22"/>
  <c r="B56" i="22" s="1"/>
  <c r="Z55" i="22"/>
  <c r="AH55" i="22" s="1"/>
  <c r="B50" i="26"/>
  <c r="BL49" i="26"/>
  <c r="AY58" i="24"/>
  <c r="G59" i="24" s="1"/>
  <c r="X59" i="24" s="1"/>
  <c r="B61" i="7"/>
  <c r="AI60" i="7"/>
  <c r="AJ60" i="7" s="1"/>
  <c r="AN59" i="29"/>
  <c r="AZ58" i="24"/>
  <c r="H59" i="24" s="1"/>
  <c r="Y59" i="24" s="1"/>
  <c r="B50" i="20"/>
  <c r="BL49" i="20"/>
  <c r="B50" i="23"/>
  <c r="BL49" i="23"/>
  <c r="AO57" i="24"/>
  <c r="AP57" i="24"/>
  <c r="J60" i="7"/>
  <c r="K60" i="7" s="1"/>
  <c r="L60" i="7" s="1"/>
  <c r="R60" i="7"/>
  <c r="S60" i="7"/>
  <c r="D20" i="14"/>
  <c r="V60" i="7"/>
  <c r="U60" i="7"/>
  <c r="BB57" i="24"/>
  <c r="AV58" i="24"/>
  <c r="D59" i="24" s="1"/>
  <c r="U59" i="24" s="1"/>
  <c r="Z60" i="29"/>
  <c r="AG60" i="29" s="1"/>
  <c r="B61" i="29"/>
  <c r="AO59" i="29"/>
  <c r="AW58" i="24"/>
  <c r="E59" i="24" s="1"/>
  <c r="V59" i="24" s="1"/>
  <c r="I58" i="24"/>
  <c r="J58" i="24" s="1"/>
  <c r="K58" i="24" s="1"/>
  <c r="L58" i="24" s="1"/>
  <c r="S58" i="24"/>
  <c r="AP54" i="22"/>
  <c r="AP55" i="10"/>
  <c r="AO55" i="10"/>
  <c r="AS60" i="19"/>
  <c r="H61" i="19" s="1"/>
  <c r="AT60" i="19"/>
  <c r="AU60" i="19" s="1"/>
  <c r="AM60" i="19"/>
  <c r="B61" i="19" s="1"/>
  <c r="AJ60" i="19"/>
  <c r="AP60" i="19"/>
  <c r="E61" i="19" s="1"/>
  <c r="AR60" i="19"/>
  <c r="G61" i="19" s="1"/>
  <c r="J60" i="19"/>
  <c r="K60" i="19" s="1"/>
  <c r="L60" i="19" s="1"/>
  <c r="AO60" i="19"/>
  <c r="D61" i="19" s="1"/>
  <c r="I64" i="4"/>
  <c r="R64" i="4" s="1"/>
  <c r="B65" i="4"/>
  <c r="AH60" i="19"/>
  <c r="AP60" i="12"/>
  <c r="H16" i="8"/>
  <c r="R60" i="19"/>
  <c r="AC60" i="19"/>
  <c r="H65" i="4"/>
  <c r="Z56" i="10"/>
  <c r="AT56" i="10" s="1"/>
  <c r="BD56" i="10"/>
  <c r="B57" i="10" s="1"/>
  <c r="U60" i="19"/>
  <c r="AD59" i="21"/>
  <c r="AA59" i="21"/>
  <c r="AB59" i="21" s="1"/>
  <c r="AC59" i="21" s="1"/>
  <c r="AL59" i="21"/>
  <c r="AM59" i="21"/>
  <c r="AI59" i="21"/>
  <c r="AJ59" i="21"/>
  <c r="L63" i="4"/>
  <c r="I81" i="4"/>
  <c r="B17" i="8" s="1"/>
  <c r="Q17" i="8" s="1"/>
  <c r="V60" i="19"/>
  <c r="AT61" i="12"/>
  <c r="B62" i="12" s="1"/>
  <c r="Z61" i="12"/>
  <c r="AH61" i="12" s="1"/>
  <c r="P60" i="19"/>
  <c r="G65" i="4"/>
  <c r="D65" i="4"/>
  <c r="AP58" i="21"/>
  <c r="AF60" i="19"/>
  <c r="S60" i="21"/>
  <c r="I60" i="21"/>
  <c r="AI60" i="19"/>
  <c r="E65" i="4"/>
  <c r="S60" i="19"/>
  <c r="AE64" i="4" l="1"/>
  <c r="AH64" i="4"/>
  <c r="AI64" i="4"/>
  <c r="AQ54" i="22"/>
  <c r="U64" i="4"/>
  <c r="Y59" i="25"/>
  <c r="J60" i="21"/>
  <c r="K60" i="21" s="1"/>
  <c r="L60" i="21" s="1"/>
  <c r="AQ60" i="12"/>
  <c r="AF64" i="4"/>
  <c r="S64" i="4"/>
  <c r="V64" i="4"/>
  <c r="AH56" i="10"/>
  <c r="AN59" i="9"/>
  <c r="S60" i="25"/>
  <c r="AT60" i="25"/>
  <c r="AU60" i="25" s="1"/>
  <c r="AP60" i="25"/>
  <c r="E61" i="25" s="1"/>
  <c r="AO60" i="25"/>
  <c r="D61" i="25" s="1"/>
  <c r="AR60" i="25"/>
  <c r="G61" i="25" s="1"/>
  <c r="AJ60" i="25"/>
  <c r="AS60" i="25"/>
  <c r="H61" i="25" s="1"/>
  <c r="AM60" i="25"/>
  <c r="B61" i="25" s="1"/>
  <c r="J60" i="25"/>
  <c r="K60" i="25" s="1"/>
  <c r="L60" i="25" s="1"/>
  <c r="Z60" i="9"/>
  <c r="B61" i="9"/>
  <c r="AC64" i="4"/>
  <c r="R60" i="25"/>
  <c r="AI60" i="25"/>
  <c r="W60" i="7"/>
  <c r="AE60" i="25"/>
  <c r="V60" i="25"/>
  <c r="AP59" i="29"/>
  <c r="AH60" i="25"/>
  <c r="U60" i="25"/>
  <c r="AO59" i="9"/>
  <c r="P60" i="25"/>
  <c r="AF60" i="25"/>
  <c r="S61" i="29"/>
  <c r="I61" i="29"/>
  <c r="J61" i="29" s="1"/>
  <c r="K61" i="29" s="1"/>
  <c r="L61" i="29" s="1"/>
  <c r="AD55" i="22"/>
  <c r="AA55" i="22"/>
  <c r="AB55" i="22" s="1"/>
  <c r="AC55" i="22" s="1"/>
  <c r="BL55" i="22"/>
  <c r="BA55" i="22"/>
  <c r="BK55" i="22"/>
  <c r="AM55" i="22"/>
  <c r="AN55" i="22"/>
  <c r="AJ55" i="22"/>
  <c r="AK55" i="22"/>
  <c r="AW55" i="22"/>
  <c r="AT58" i="24"/>
  <c r="B59" i="24" s="1"/>
  <c r="Z58" i="24"/>
  <c r="BO58" i="24" s="1"/>
  <c r="AA60" i="29"/>
  <c r="AB60" i="29" s="1"/>
  <c r="AC60" i="29" s="1"/>
  <c r="AL60" i="29"/>
  <c r="AD60" i="29"/>
  <c r="AM60" i="29"/>
  <c r="AJ60" i="29"/>
  <c r="AI60" i="29"/>
  <c r="AZ59" i="24"/>
  <c r="H60" i="24" s="1"/>
  <c r="Y60" i="24" s="1"/>
  <c r="AZ60" i="24" s="1"/>
  <c r="H61" i="24" s="1"/>
  <c r="Y61" i="24" s="1"/>
  <c r="AZ61" i="24" s="1"/>
  <c r="H62" i="24" s="1"/>
  <c r="Y62" i="24" s="1"/>
  <c r="I56" i="22"/>
  <c r="S56" i="22"/>
  <c r="AQ57" i="24"/>
  <c r="AT55" i="22"/>
  <c r="S50" i="23"/>
  <c r="I50" i="23"/>
  <c r="J50" i="23" s="1"/>
  <c r="K50" i="23" s="1"/>
  <c r="L50" i="23" s="1"/>
  <c r="AB61" i="7"/>
  <c r="I61" i="7"/>
  <c r="AY59" i="24"/>
  <c r="G60" i="24" s="1"/>
  <c r="X60" i="24" s="1"/>
  <c r="AY60" i="24" s="1"/>
  <c r="G61" i="24" s="1"/>
  <c r="X61" i="24" s="1"/>
  <c r="AY61" i="24" s="1"/>
  <c r="G62" i="24" s="1"/>
  <c r="X62" i="24" s="1"/>
  <c r="AN59" i="21"/>
  <c r="AQ55" i="10"/>
  <c r="AW59" i="24"/>
  <c r="E60" i="24" s="1"/>
  <c r="V60" i="24" s="1"/>
  <c r="AW60" i="24" s="1"/>
  <c r="E61" i="24" s="1"/>
  <c r="V61" i="24" s="1"/>
  <c r="AW61" i="24" s="1"/>
  <c r="E62" i="24" s="1"/>
  <c r="V62" i="24" s="1"/>
  <c r="X60" i="7"/>
  <c r="AV59" i="24"/>
  <c r="D60" i="24" s="1"/>
  <c r="U60" i="24" s="1"/>
  <c r="AV60" i="24" s="1"/>
  <c r="D61" i="24" s="1"/>
  <c r="U61" i="24" s="1"/>
  <c r="AV61" i="24" s="1"/>
  <c r="D62" i="24" s="1"/>
  <c r="U62" i="24" s="1"/>
  <c r="I50" i="20"/>
  <c r="J50" i="20" s="1"/>
  <c r="K50" i="20" s="1"/>
  <c r="L50" i="20" s="1"/>
  <c r="S50" i="20"/>
  <c r="S50" i="26"/>
  <c r="I50" i="26"/>
  <c r="J50" i="26" s="1"/>
  <c r="K50" i="26" s="1"/>
  <c r="L50" i="26" s="1"/>
  <c r="H17" i="8"/>
  <c r="AO59" i="21"/>
  <c r="I65" i="4"/>
  <c r="AC65" i="4" s="1"/>
  <c r="I61" i="19"/>
  <c r="U61" i="19" s="1"/>
  <c r="BA61" i="12"/>
  <c r="BB61" i="12"/>
  <c r="AA61" i="12"/>
  <c r="AB61" i="12" s="1"/>
  <c r="AC61" i="12" s="1"/>
  <c r="AD61" i="12"/>
  <c r="BV61" i="12"/>
  <c r="BQ61" i="12"/>
  <c r="AK61" i="12"/>
  <c r="AJ61" i="12"/>
  <c r="AN61" i="12"/>
  <c r="BT61" i="12"/>
  <c r="AM61" i="12"/>
  <c r="BR61" i="12"/>
  <c r="BU61" i="12"/>
  <c r="S62" i="12"/>
  <c r="I62" i="12"/>
  <c r="J62" i="12" s="1"/>
  <c r="K62" i="12" s="1"/>
  <c r="L62" i="12" s="1"/>
  <c r="I57" i="10"/>
  <c r="J57" i="10" s="1"/>
  <c r="K57" i="10" s="1"/>
  <c r="L57" i="10" s="1"/>
  <c r="S57" i="10"/>
  <c r="B24" i="14"/>
  <c r="AT64" i="4"/>
  <c r="AU64" i="4" s="1"/>
  <c r="AJ64" i="4"/>
  <c r="J64" i="4"/>
  <c r="K64" i="4" s="1"/>
  <c r="L64" i="4" s="1"/>
  <c r="B61" i="21"/>
  <c r="Z60" i="21"/>
  <c r="AG60" i="21" s="1"/>
  <c r="X60" i="19"/>
  <c r="W60" i="19"/>
  <c r="BO61" i="12"/>
  <c r="AA56" i="10"/>
  <c r="AB56" i="10" s="1"/>
  <c r="AC56" i="10" s="1"/>
  <c r="BK56" i="10"/>
  <c r="AD56" i="10"/>
  <c r="BA56" i="10"/>
  <c r="BL56" i="10"/>
  <c r="AM56" i="10"/>
  <c r="AN56" i="10"/>
  <c r="AJ56" i="10"/>
  <c r="AK56" i="10"/>
  <c r="AW56" i="10"/>
  <c r="P64" i="4"/>
  <c r="AI65" i="4" l="1"/>
  <c r="AH65" i="4"/>
  <c r="AE65" i="4"/>
  <c r="Y60" i="7"/>
  <c r="J56" i="22"/>
  <c r="K56" i="22" s="1"/>
  <c r="L56" i="22" s="1"/>
  <c r="R61" i="19"/>
  <c r="V61" i="19"/>
  <c r="AI61" i="19"/>
  <c r="S61" i="19"/>
  <c r="AE61" i="19"/>
  <c r="V65" i="4"/>
  <c r="S65" i="4"/>
  <c r="AP59" i="9"/>
  <c r="P61" i="19"/>
  <c r="Y60" i="19"/>
  <c r="AH58" i="24"/>
  <c r="R65" i="4"/>
  <c r="AF61" i="19"/>
  <c r="AH61" i="19"/>
  <c r="AN60" i="29"/>
  <c r="S61" i="9"/>
  <c r="I61" i="9"/>
  <c r="J61" i="9" s="1"/>
  <c r="K61" i="9" s="1"/>
  <c r="L61" i="9" s="1"/>
  <c r="U65" i="4"/>
  <c r="AO61" i="12"/>
  <c r="AL60" i="9"/>
  <c r="AD60" i="9"/>
  <c r="AI60" i="9"/>
  <c r="AA60" i="9"/>
  <c r="AB60" i="9" s="1"/>
  <c r="AC60" i="9" s="1"/>
  <c r="AJ60" i="9"/>
  <c r="AM60" i="9"/>
  <c r="AP56" i="10"/>
  <c r="AG60" i="9"/>
  <c r="AF65" i="4"/>
  <c r="AC61" i="19"/>
  <c r="W60" i="25"/>
  <c r="X60" i="25"/>
  <c r="I61" i="25"/>
  <c r="Z50" i="26"/>
  <c r="AH50" i="26" s="1"/>
  <c r="I59" i="24"/>
  <c r="J59" i="24" s="1"/>
  <c r="K59" i="24" s="1"/>
  <c r="L59" i="24" s="1"/>
  <c r="S59" i="24"/>
  <c r="B62" i="29"/>
  <c r="Z61" i="29"/>
  <c r="Z56" i="22"/>
  <c r="AH56" i="22" s="1"/>
  <c r="BD56" i="22"/>
  <c r="B57" i="22" s="1"/>
  <c r="J61" i="7"/>
  <c r="K61" i="7" s="1"/>
  <c r="L61" i="7" s="1"/>
  <c r="D21" i="14"/>
  <c r="S61" i="7"/>
  <c r="U61" i="7"/>
  <c r="R61" i="7"/>
  <c r="V61" i="7"/>
  <c r="AP55" i="22"/>
  <c r="AO55" i="22"/>
  <c r="Z50" i="20"/>
  <c r="AT50" i="20" s="1"/>
  <c r="B62" i="7"/>
  <c r="AI61" i="7"/>
  <c r="AJ61" i="7" s="1"/>
  <c r="AO60" i="29"/>
  <c r="Z50" i="23"/>
  <c r="AP59" i="21"/>
  <c r="P61" i="7"/>
  <c r="AP61" i="12"/>
  <c r="AD58" i="24"/>
  <c r="BA58" i="24"/>
  <c r="BB58" i="24"/>
  <c r="BV58" i="24"/>
  <c r="AA58" i="24"/>
  <c r="AB58" i="24" s="1"/>
  <c r="AC58" i="24" s="1"/>
  <c r="BQ58" i="24"/>
  <c r="AJ58" i="24"/>
  <c r="AK58" i="24"/>
  <c r="BT58" i="24"/>
  <c r="BR58" i="24"/>
  <c r="AM58" i="24"/>
  <c r="AN58" i="24"/>
  <c r="BU58" i="24"/>
  <c r="X64" i="4"/>
  <c r="W64" i="4"/>
  <c r="AD60" i="21"/>
  <c r="AA60" i="21"/>
  <c r="AB60" i="21" s="1"/>
  <c r="AC60" i="21" s="1"/>
  <c r="AI60" i="21"/>
  <c r="AL60" i="21"/>
  <c r="AJ60" i="21"/>
  <c r="AM60" i="21"/>
  <c r="AT62" i="12"/>
  <c r="B63" i="12" s="1"/>
  <c r="Z62" i="12"/>
  <c r="BO62" i="12" s="1"/>
  <c r="J65" i="4"/>
  <c r="K65" i="4" s="1"/>
  <c r="L65" i="4" s="1"/>
  <c r="B25" i="14"/>
  <c r="AT65" i="4"/>
  <c r="AJ65" i="4"/>
  <c r="S61" i="21"/>
  <c r="I61" i="21"/>
  <c r="Z57" i="10"/>
  <c r="AT57" i="10" s="1"/>
  <c r="AO56" i="10"/>
  <c r="P65" i="4"/>
  <c r="AS61" i="19"/>
  <c r="H62" i="19" s="1"/>
  <c r="AR61" i="19"/>
  <c r="G62" i="19" s="1"/>
  <c r="AP61" i="19"/>
  <c r="E62" i="19" s="1"/>
  <c r="AM61" i="19"/>
  <c r="B62" i="19" s="1"/>
  <c r="AO61" i="19"/>
  <c r="D62" i="19" s="1"/>
  <c r="J61" i="19"/>
  <c r="K61" i="19" s="1"/>
  <c r="L61" i="19" s="1"/>
  <c r="AT61" i="19"/>
  <c r="AU61" i="19" s="1"/>
  <c r="AJ61" i="19"/>
  <c r="AH50" i="23" l="1"/>
  <c r="AU50" i="23"/>
  <c r="X61" i="19"/>
  <c r="J61" i="21"/>
  <c r="K61" i="21" s="1"/>
  <c r="L61" i="21" s="1"/>
  <c r="AT50" i="26"/>
  <c r="W61" i="19"/>
  <c r="Y61" i="19" s="1"/>
  <c r="AO60" i="21"/>
  <c r="AT56" i="22"/>
  <c r="AQ56" i="10"/>
  <c r="AP60" i="29"/>
  <c r="AT50" i="23"/>
  <c r="AN60" i="21"/>
  <c r="AQ55" i="22"/>
  <c r="AQ61" i="12"/>
  <c r="AH61" i="25"/>
  <c r="J61" i="25"/>
  <c r="K61" i="25" s="1"/>
  <c r="L61" i="25" s="1"/>
  <c r="AM61" i="25"/>
  <c r="B62" i="25" s="1"/>
  <c r="AP61" i="25"/>
  <c r="E62" i="25" s="1"/>
  <c r="AJ61" i="25"/>
  <c r="AO61" i="25"/>
  <c r="D62" i="25" s="1"/>
  <c r="AT61" i="25"/>
  <c r="AU61" i="25" s="1"/>
  <c r="AR61" i="25"/>
  <c r="G62" i="25" s="1"/>
  <c r="AS61" i="25"/>
  <c r="H62" i="25" s="1"/>
  <c r="AH50" i="20"/>
  <c r="AC61" i="25"/>
  <c r="S61" i="25"/>
  <c r="AF61" i="25"/>
  <c r="Y60" i="25"/>
  <c r="AN60" i="9"/>
  <c r="AE61" i="25"/>
  <c r="U61" i="25"/>
  <c r="R61" i="25"/>
  <c r="AI61" i="25"/>
  <c r="AO60" i="9"/>
  <c r="B62" i="9"/>
  <c r="Z61" i="9"/>
  <c r="AG61" i="9" s="1"/>
  <c r="V61" i="25"/>
  <c r="Y64" i="4"/>
  <c r="P61" i="25"/>
  <c r="S62" i="29"/>
  <c r="I62" i="29"/>
  <c r="J62" i="29" s="1"/>
  <c r="K62" i="29" s="1"/>
  <c r="L62" i="29" s="1"/>
  <c r="AD50" i="23"/>
  <c r="AA50" i="23"/>
  <c r="AB50" i="23" s="1"/>
  <c r="AC50" i="23" s="1"/>
  <c r="BK50" i="23"/>
  <c r="AL50" i="23"/>
  <c r="BA50" i="23"/>
  <c r="AX50" i="23"/>
  <c r="AI50" i="23"/>
  <c r="AN50" i="23"/>
  <c r="AT59" i="24"/>
  <c r="B60" i="24" s="1"/>
  <c r="Z59" i="24"/>
  <c r="AD61" i="29"/>
  <c r="AI61" i="29"/>
  <c r="AM61" i="29"/>
  <c r="AA61" i="29"/>
  <c r="AB61" i="29" s="1"/>
  <c r="AC61" i="29" s="1"/>
  <c r="AL61" i="29"/>
  <c r="AJ61" i="29"/>
  <c r="X61" i="7"/>
  <c r="I57" i="22"/>
  <c r="J57" i="22" s="1"/>
  <c r="K57" i="22" s="1"/>
  <c r="L57" i="22" s="1"/>
  <c r="S57" i="22"/>
  <c r="AO58" i="24"/>
  <c r="AP58" i="24"/>
  <c r="AB62" i="7"/>
  <c r="I62" i="7"/>
  <c r="P62" i="7" s="1"/>
  <c r="W61" i="7"/>
  <c r="AA56" i="22"/>
  <c r="AB56" i="22" s="1"/>
  <c r="AC56" i="22" s="1"/>
  <c r="BK56" i="22"/>
  <c r="BA56" i="22"/>
  <c r="AD56" i="22"/>
  <c r="AM56" i="22"/>
  <c r="AN56" i="22"/>
  <c r="BL56" i="22"/>
  <c r="AK56" i="22"/>
  <c r="AW56" i="22"/>
  <c r="AJ56" i="22"/>
  <c r="AI50" i="26"/>
  <c r="BA50" i="26"/>
  <c r="AA50" i="26"/>
  <c r="AB50" i="26" s="1"/>
  <c r="AC50" i="26" s="1"/>
  <c r="AL50" i="26"/>
  <c r="AU50" i="26"/>
  <c r="AD50" i="26"/>
  <c r="BK50" i="26"/>
  <c r="AX50" i="26"/>
  <c r="AZ50" i="26"/>
  <c r="AN50" i="26"/>
  <c r="BK50" i="20"/>
  <c r="AD50" i="20"/>
  <c r="BA50" i="20"/>
  <c r="AA50" i="20"/>
  <c r="AB50" i="20" s="1"/>
  <c r="AC50" i="20" s="1"/>
  <c r="AU50" i="20"/>
  <c r="AN50" i="20"/>
  <c r="AX50" i="20"/>
  <c r="AI50" i="20"/>
  <c r="AZ50" i="20"/>
  <c r="AL50" i="20"/>
  <c r="AG61" i="29"/>
  <c r="S63" i="12"/>
  <c r="I63" i="12"/>
  <c r="J63" i="12" s="1"/>
  <c r="I62" i="19"/>
  <c r="V62" i="19" s="1"/>
  <c r="AA57" i="10"/>
  <c r="AB57" i="10" s="1"/>
  <c r="AC57" i="10" s="1"/>
  <c r="AD57" i="10"/>
  <c r="BA57" i="10"/>
  <c r="BK57" i="10"/>
  <c r="AM57" i="10"/>
  <c r="AN57" i="10"/>
  <c r="AJ57" i="10"/>
  <c r="AW57" i="10"/>
  <c r="AK57" i="10"/>
  <c r="B62" i="21"/>
  <c r="Z61" i="21"/>
  <c r="D66" i="4"/>
  <c r="G66" i="4"/>
  <c r="E66" i="4"/>
  <c r="B66" i="4"/>
  <c r="AU65" i="4"/>
  <c r="H66" i="4"/>
  <c r="AA62" i="12"/>
  <c r="AB62" i="12" s="1"/>
  <c r="AC62" i="12" s="1"/>
  <c r="BB62" i="12"/>
  <c r="BV62" i="12"/>
  <c r="AD62" i="12"/>
  <c r="BA62" i="12"/>
  <c r="BT62" i="12"/>
  <c r="AJ62" i="12"/>
  <c r="BR62" i="12"/>
  <c r="BU62" i="12"/>
  <c r="AN62" i="12"/>
  <c r="AK62" i="12"/>
  <c r="BQ62" i="12"/>
  <c r="AM62" i="12"/>
  <c r="X65" i="4"/>
  <c r="W65" i="4"/>
  <c r="AH57" i="10"/>
  <c r="AH62" i="12"/>
  <c r="AP60" i="21" l="1"/>
  <c r="AF62" i="19"/>
  <c r="AI62" i="19"/>
  <c r="AP60" i="9"/>
  <c r="U62" i="19"/>
  <c r="S62" i="19"/>
  <c r="AH62" i="19"/>
  <c r="AP56" i="22"/>
  <c r="AO50" i="26"/>
  <c r="AO50" i="23"/>
  <c r="AD61" i="9"/>
  <c r="AI61" i="9"/>
  <c r="AM61" i="9"/>
  <c r="AA61" i="9"/>
  <c r="AB61" i="9" s="1"/>
  <c r="AC61" i="9" s="1"/>
  <c r="AL61" i="9"/>
  <c r="AJ61" i="9"/>
  <c r="I62" i="9"/>
  <c r="J62" i="9" s="1"/>
  <c r="K62" i="9" s="1"/>
  <c r="L62" i="9" s="1"/>
  <c r="S62" i="9"/>
  <c r="AO50" i="20"/>
  <c r="I62" i="25"/>
  <c r="U62" i="25" s="1"/>
  <c r="W61" i="25"/>
  <c r="X61" i="25"/>
  <c r="AP50" i="26"/>
  <c r="B63" i="29"/>
  <c r="Z62" i="29"/>
  <c r="AG62" i="29" s="1"/>
  <c r="BJ50" i="26"/>
  <c r="H51" i="26" s="1"/>
  <c r="Y51" i="26" s="1"/>
  <c r="BE50" i="26"/>
  <c r="BH50" i="26"/>
  <c r="BD50" i="26"/>
  <c r="Z57" i="22"/>
  <c r="BO59" i="24"/>
  <c r="BA59" i="24"/>
  <c r="AA59" i="24"/>
  <c r="AB59" i="24" s="1"/>
  <c r="AC59" i="24" s="1"/>
  <c r="BV59" i="24"/>
  <c r="BB59" i="24"/>
  <c r="AD59" i="24"/>
  <c r="AN59" i="24"/>
  <c r="BU59" i="24"/>
  <c r="BR59" i="24"/>
  <c r="AK59" i="24"/>
  <c r="AJ59" i="24"/>
  <c r="AM59" i="24"/>
  <c r="BT59" i="24"/>
  <c r="BQ59" i="24"/>
  <c r="V62" i="7"/>
  <c r="U62" i="7"/>
  <c r="R62" i="7"/>
  <c r="S62" i="7"/>
  <c r="J62" i="7"/>
  <c r="K62" i="7" s="1"/>
  <c r="L62" i="7" s="1"/>
  <c r="D22" i="14"/>
  <c r="I60" i="24"/>
  <c r="J60" i="24" s="1"/>
  <c r="K60" i="24" s="1"/>
  <c r="L60" i="24" s="1"/>
  <c r="S60" i="24"/>
  <c r="AP50" i="23"/>
  <c r="AP50" i="20"/>
  <c r="BH50" i="20"/>
  <c r="F51" i="20" s="1"/>
  <c r="W51" i="20" s="1"/>
  <c r="BD50" i="20"/>
  <c r="BE50" i="20"/>
  <c r="C51" i="20" s="1"/>
  <c r="T51" i="20" s="1"/>
  <c r="BJ50" i="20"/>
  <c r="H51" i="20" s="1"/>
  <c r="Y51" i="20" s="1"/>
  <c r="AI62" i="7"/>
  <c r="AJ62" i="7" s="1"/>
  <c r="B63" i="7"/>
  <c r="AN61" i="29"/>
  <c r="AH59" i="24"/>
  <c r="Y65" i="4"/>
  <c r="AQ58" i="24"/>
  <c r="BE50" i="23"/>
  <c r="C51" i="23" s="1"/>
  <c r="T51" i="23" s="1"/>
  <c r="BH50" i="23"/>
  <c r="F51" i="23" s="1"/>
  <c r="W51" i="23" s="1"/>
  <c r="BD50" i="23"/>
  <c r="BJ50" i="23"/>
  <c r="H51" i="23" s="1"/>
  <c r="Y51" i="23" s="1"/>
  <c r="AO56" i="22"/>
  <c r="AO61" i="29"/>
  <c r="Y61" i="7"/>
  <c r="AR66" i="4"/>
  <c r="G67" i="4" s="1"/>
  <c r="S62" i="21"/>
  <c r="I62" i="21"/>
  <c r="I80" i="12"/>
  <c r="K63" i="12"/>
  <c r="AO66" i="4"/>
  <c r="D67" i="4" s="1"/>
  <c r="J62" i="19"/>
  <c r="K62" i="19" s="1"/>
  <c r="L62" i="19" s="1"/>
  <c r="AS62" i="19"/>
  <c r="H63" i="19" s="1"/>
  <c r="AJ62" i="19"/>
  <c r="AM62" i="19"/>
  <c r="B63" i="19" s="1"/>
  <c r="AT62" i="19"/>
  <c r="AU62" i="19" s="1"/>
  <c r="AP62" i="19"/>
  <c r="E63" i="19" s="1"/>
  <c r="AR62" i="19"/>
  <c r="G63" i="19" s="1"/>
  <c r="AO62" i="19"/>
  <c r="D63" i="19" s="1"/>
  <c r="Z63" i="12"/>
  <c r="AH63" i="12" s="1"/>
  <c r="AS66" i="4"/>
  <c r="H67" i="4" s="1"/>
  <c r="I66" i="4"/>
  <c r="AH66" i="4" s="1"/>
  <c r="AM66" i="4"/>
  <c r="B67" i="4" s="1"/>
  <c r="AA61" i="21"/>
  <c r="AB61" i="21" s="1"/>
  <c r="AC61" i="21" s="1"/>
  <c r="AD61" i="21"/>
  <c r="AM61" i="21"/>
  <c r="AL61" i="21"/>
  <c r="AI61" i="21"/>
  <c r="AJ61" i="21"/>
  <c r="P62" i="19"/>
  <c r="AE62" i="19"/>
  <c r="AP62" i="12"/>
  <c r="AO62" i="12"/>
  <c r="AP57" i="10"/>
  <c r="AO57" i="10"/>
  <c r="AP66" i="4"/>
  <c r="E67" i="4" s="1"/>
  <c r="AG61" i="21"/>
  <c r="BG57" i="10"/>
  <c r="E58" i="10" s="1"/>
  <c r="V58" i="10" s="1"/>
  <c r="BJ57" i="10"/>
  <c r="H58" i="10" s="1"/>
  <c r="Y58" i="10" s="1"/>
  <c r="BD57" i="10"/>
  <c r="BF57" i="10"/>
  <c r="D58" i="10" s="1"/>
  <c r="U58" i="10" s="1"/>
  <c r="BI57" i="10"/>
  <c r="G58" i="10" s="1"/>
  <c r="X58" i="10" s="1"/>
  <c r="AC62" i="19"/>
  <c r="R62" i="19"/>
  <c r="AE66" i="4" l="1"/>
  <c r="AI66" i="4"/>
  <c r="AQ56" i="22"/>
  <c r="J62" i="21"/>
  <c r="K62" i="21" s="1"/>
  <c r="L62" i="21" s="1"/>
  <c r="AQ50" i="26"/>
  <c r="AP61" i="29"/>
  <c r="AQ50" i="23"/>
  <c r="AQ50" i="20"/>
  <c r="AQ62" i="12"/>
  <c r="AO59" i="24"/>
  <c r="AC66" i="4"/>
  <c r="AT57" i="22"/>
  <c r="AN61" i="9"/>
  <c r="X62" i="7"/>
  <c r="AI62" i="25"/>
  <c r="AF62" i="25"/>
  <c r="AH62" i="25"/>
  <c r="Z62" i="9"/>
  <c r="AG62" i="9" s="1"/>
  <c r="B63" i="9"/>
  <c r="S62" i="25"/>
  <c r="AJ62" i="25"/>
  <c r="AR62" i="25"/>
  <c r="G63" i="25" s="1"/>
  <c r="AT62" i="25"/>
  <c r="AU62" i="25" s="1"/>
  <c r="AP62" i="25"/>
  <c r="E63" i="25" s="1"/>
  <c r="AS62" i="25"/>
  <c r="H63" i="25" s="1"/>
  <c r="J62" i="25"/>
  <c r="K62" i="25" s="1"/>
  <c r="L62" i="25" s="1"/>
  <c r="AM62" i="25"/>
  <c r="B63" i="25" s="1"/>
  <c r="AO62" i="25"/>
  <c r="D63" i="25" s="1"/>
  <c r="Y61" i="25"/>
  <c r="R62" i="25"/>
  <c r="AO61" i="9"/>
  <c r="V62" i="25"/>
  <c r="P62" i="25"/>
  <c r="AE62" i="25"/>
  <c r="S66" i="4"/>
  <c r="AF66" i="4"/>
  <c r="W62" i="7"/>
  <c r="AC62" i="25"/>
  <c r="B51" i="23"/>
  <c r="BL50" i="23"/>
  <c r="I63" i="29"/>
  <c r="J63" i="29" s="1"/>
  <c r="S63" i="29"/>
  <c r="AP59" i="24"/>
  <c r="B51" i="26"/>
  <c r="BL50" i="26"/>
  <c r="B51" i="20"/>
  <c r="BL50" i="20"/>
  <c r="I63" i="7"/>
  <c r="AT60" i="24"/>
  <c r="B61" i="24" s="1"/>
  <c r="Z60" i="24"/>
  <c r="AH60" i="24" s="1"/>
  <c r="AM57" i="22"/>
  <c r="AA57" i="22"/>
  <c r="AB57" i="22" s="1"/>
  <c r="AC57" i="22" s="1"/>
  <c r="AJ57" i="22"/>
  <c r="BK57" i="22"/>
  <c r="AK57" i="22"/>
  <c r="BA57" i="22"/>
  <c r="AW57" i="22"/>
  <c r="AD57" i="22"/>
  <c r="AN57" i="22"/>
  <c r="AA62" i="29"/>
  <c r="AB62" i="29" s="1"/>
  <c r="AC62" i="29" s="1"/>
  <c r="AI62" i="29"/>
  <c r="AL62" i="29"/>
  <c r="AM62" i="29"/>
  <c r="AD62" i="29"/>
  <c r="AJ62" i="29"/>
  <c r="I67" i="4"/>
  <c r="P67" i="4" s="1"/>
  <c r="AM67" i="4"/>
  <c r="B68" i="4" s="1"/>
  <c r="AS67" i="4"/>
  <c r="H68" i="4" s="1"/>
  <c r="AO67" i="4"/>
  <c r="D68" i="4" s="1"/>
  <c r="AR67" i="4"/>
  <c r="G68" i="4" s="1"/>
  <c r="AN61" i="21"/>
  <c r="AO61" i="21"/>
  <c r="W62" i="19"/>
  <c r="X62" i="19"/>
  <c r="AA62" i="19"/>
  <c r="BA63" i="12"/>
  <c r="AZ63" i="12"/>
  <c r="H64" i="12" s="1"/>
  <c r="AD63" i="12"/>
  <c r="AA63" i="12"/>
  <c r="AB63" i="12" s="1"/>
  <c r="AC63" i="12" s="1"/>
  <c r="BV63" i="12"/>
  <c r="AK63" i="12"/>
  <c r="AM63" i="12"/>
  <c r="BU63" i="12"/>
  <c r="BR63" i="12"/>
  <c r="BT63" i="12"/>
  <c r="AJ63" i="12"/>
  <c r="AN63" i="12"/>
  <c r="BQ63" i="12"/>
  <c r="AP67" i="4"/>
  <c r="E68" i="4" s="1"/>
  <c r="B58" i="10"/>
  <c r="BL57" i="10"/>
  <c r="AQ57" i="10"/>
  <c r="B26" i="14"/>
  <c r="AJ66" i="4"/>
  <c r="AT66" i="4"/>
  <c r="AU66" i="4" s="1"/>
  <c r="J66" i="4"/>
  <c r="K66" i="4" s="1"/>
  <c r="L66" i="4" s="1"/>
  <c r="V66" i="4"/>
  <c r="BO63" i="12"/>
  <c r="U66" i="4"/>
  <c r="P66" i="4"/>
  <c r="I63" i="19"/>
  <c r="V63" i="19" s="1"/>
  <c r="R66" i="4"/>
  <c r="L63" i="12"/>
  <c r="I81" i="12"/>
  <c r="B63" i="21"/>
  <c r="Z62" i="21"/>
  <c r="AH67" i="4" l="1"/>
  <c r="AI67" i="4"/>
  <c r="AE67" i="4"/>
  <c r="Y62" i="7"/>
  <c r="AF67" i="4"/>
  <c r="AQ59" i="24"/>
  <c r="AO62" i="29"/>
  <c r="R67" i="4"/>
  <c r="AP61" i="9"/>
  <c r="V67" i="4"/>
  <c r="AP57" i="22"/>
  <c r="BO60" i="24"/>
  <c r="I63" i="25"/>
  <c r="AI63" i="25" s="1"/>
  <c r="S63" i="9"/>
  <c r="I63" i="9"/>
  <c r="J63" i="9" s="1"/>
  <c r="AO57" i="22"/>
  <c r="X62" i="25"/>
  <c r="AA62" i="25"/>
  <c r="W62" i="25"/>
  <c r="AI62" i="9"/>
  <c r="AL62" i="9"/>
  <c r="AM62" i="9"/>
  <c r="AJ62" i="9"/>
  <c r="AD62" i="9"/>
  <c r="AA62" i="9"/>
  <c r="AB62" i="9" s="1"/>
  <c r="AC62" i="9" s="1"/>
  <c r="AP63" i="12"/>
  <c r="S63" i="7"/>
  <c r="U63" i="7"/>
  <c r="R63" i="7"/>
  <c r="V63" i="7"/>
  <c r="J63" i="7"/>
  <c r="D23" i="14"/>
  <c r="AH63" i="7"/>
  <c r="S67" i="4"/>
  <c r="P63" i="7"/>
  <c r="B64" i="29"/>
  <c r="Z63" i="29"/>
  <c r="AG63" i="29" s="1"/>
  <c r="AN62" i="29"/>
  <c r="AP62" i="29" s="1"/>
  <c r="S51" i="26"/>
  <c r="I51" i="26"/>
  <c r="J51" i="26" s="1"/>
  <c r="K51" i="26" s="1"/>
  <c r="L51" i="26" s="1"/>
  <c r="K63" i="29"/>
  <c r="I80" i="29"/>
  <c r="M31" i="8" s="1"/>
  <c r="U31" i="8" s="1"/>
  <c r="U67" i="4"/>
  <c r="AC67" i="4"/>
  <c r="BI57" i="22"/>
  <c r="G58" i="22" s="1"/>
  <c r="X58" i="22" s="1"/>
  <c r="BJ57" i="22"/>
  <c r="H58" i="22" s="1"/>
  <c r="Y58" i="22" s="1"/>
  <c r="BD57" i="22"/>
  <c r="BG57" i="22"/>
  <c r="E58" i="22" s="1"/>
  <c r="V58" i="22" s="1"/>
  <c r="BF57" i="22"/>
  <c r="D58" i="22" s="1"/>
  <c r="U58" i="22" s="1"/>
  <c r="AO63" i="12"/>
  <c r="AP61" i="21"/>
  <c r="I51" i="23"/>
  <c r="J51" i="23" s="1"/>
  <c r="K51" i="23" s="1"/>
  <c r="L51" i="23" s="1"/>
  <c r="S51" i="23"/>
  <c r="S61" i="24"/>
  <c r="I61" i="24"/>
  <c r="J61" i="24" s="1"/>
  <c r="K61" i="24" s="1"/>
  <c r="L61" i="24" s="1"/>
  <c r="BT60" i="24"/>
  <c r="BV60" i="24"/>
  <c r="AM60" i="24"/>
  <c r="AD60" i="24"/>
  <c r="BQ60" i="24"/>
  <c r="AA60" i="24"/>
  <c r="AB60" i="24" s="1"/>
  <c r="AC60" i="24" s="1"/>
  <c r="AK60" i="24"/>
  <c r="BU60" i="24"/>
  <c r="BB60" i="24"/>
  <c r="BR60" i="24"/>
  <c r="BA60" i="24"/>
  <c r="AN60" i="24"/>
  <c r="AJ60" i="24"/>
  <c r="I51" i="20"/>
  <c r="J51" i="20" s="1"/>
  <c r="K51" i="20" s="1"/>
  <c r="L51" i="20" s="1"/>
  <c r="S51" i="20"/>
  <c r="X66" i="4"/>
  <c r="W66" i="4"/>
  <c r="AO63" i="19"/>
  <c r="D64" i="19" s="1"/>
  <c r="AS63" i="19"/>
  <c r="H64" i="19" s="1"/>
  <c r="AT63" i="19"/>
  <c r="AU63" i="19" s="1"/>
  <c r="AR63" i="19"/>
  <c r="G64" i="19" s="1"/>
  <c r="AM63" i="19"/>
  <c r="B64" i="19" s="1"/>
  <c r="AP63" i="19"/>
  <c r="E64" i="19" s="1"/>
  <c r="J63" i="19"/>
  <c r="AJ63" i="19"/>
  <c r="S58" i="10"/>
  <c r="I58" i="10"/>
  <c r="J58" i="10" s="1"/>
  <c r="K58" i="10" s="1"/>
  <c r="L58" i="10" s="1"/>
  <c r="AF63" i="19"/>
  <c r="Y62" i="19"/>
  <c r="U63" i="19"/>
  <c r="I68" i="4"/>
  <c r="V68" i="4" s="1"/>
  <c r="AD62" i="21"/>
  <c r="AA62" i="21"/>
  <c r="AB62" i="21" s="1"/>
  <c r="AC62" i="21" s="1"/>
  <c r="AM62" i="21"/>
  <c r="AL62" i="21"/>
  <c r="AJ62" i="21"/>
  <c r="AI62" i="21"/>
  <c r="I63" i="21"/>
  <c r="AC63" i="19"/>
  <c r="S63" i="19"/>
  <c r="Y64" i="12"/>
  <c r="I64" i="12"/>
  <c r="J64" i="12" s="1"/>
  <c r="K64" i="12" s="1"/>
  <c r="L64" i="12" s="1"/>
  <c r="AH63" i="19"/>
  <c r="R63" i="19"/>
  <c r="AG62" i="21"/>
  <c r="P63" i="19"/>
  <c r="AE63" i="19"/>
  <c r="AI63" i="19"/>
  <c r="BB63" i="12"/>
  <c r="AJ67" i="4"/>
  <c r="B27" i="14"/>
  <c r="AT67" i="4"/>
  <c r="AU67" i="4" s="1"/>
  <c r="J67" i="4"/>
  <c r="K67" i="4" s="1"/>
  <c r="L67" i="4" s="1"/>
  <c r="AI68" i="4" l="1"/>
  <c r="AE68" i="4"/>
  <c r="AH68" i="4"/>
  <c r="J63" i="21"/>
  <c r="K63" i="21" s="1"/>
  <c r="X67" i="4"/>
  <c r="V63" i="25"/>
  <c r="AF63" i="25"/>
  <c r="S63" i="25"/>
  <c r="AQ57" i="22"/>
  <c r="W67" i="4"/>
  <c r="U68" i="4"/>
  <c r="Y62" i="25"/>
  <c r="AN62" i="9"/>
  <c r="AC68" i="4"/>
  <c r="X63" i="7"/>
  <c r="R68" i="4"/>
  <c r="P68" i="4"/>
  <c r="AO62" i="9"/>
  <c r="B64" i="9"/>
  <c r="Z63" i="9"/>
  <c r="AG63" i="9" s="1"/>
  <c r="AC63" i="25"/>
  <c r="AS63" i="25"/>
  <c r="H64" i="25" s="1"/>
  <c r="AO63" i="25"/>
  <c r="D64" i="25" s="1"/>
  <c r="AR63" i="25"/>
  <c r="G64" i="25" s="1"/>
  <c r="AM63" i="25"/>
  <c r="B64" i="25" s="1"/>
  <c r="J63" i="25"/>
  <c r="AT63" i="25"/>
  <c r="AU63" i="25" s="1"/>
  <c r="AJ63" i="25"/>
  <c r="AP63" i="25"/>
  <c r="E64" i="25" s="1"/>
  <c r="S68" i="4"/>
  <c r="AQ63" i="12"/>
  <c r="P63" i="25"/>
  <c r="AH63" i="25"/>
  <c r="R63" i="25"/>
  <c r="U63" i="25"/>
  <c r="I80" i="9"/>
  <c r="K63" i="9"/>
  <c r="AE63" i="25"/>
  <c r="AO60" i="24"/>
  <c r="K63" i="7"/>
  <c r="I80" i="7"/>
  <c r="D16" i="8" s="1"/>
  <c r="S16" i="8" s="1"/>
  <c r="AJ63" i="29"/>
  <c r="AL63" i="29"/>
  <c r="AI63" i="29"/>
  <c r="AM63" i="29"/>
  <c r="AD63" i="29"/>
  <c r="AA63" i="29"/>
  <c r="AB63" i="29" s="1"/>
  <c r="AC63" i="29" s="1"/>
  <c r="Y66" i="4"/>
  <c r="I64" i="29"/>
  <c r="J64" i="29" s="1"/>
  <c r="K64" i="29" s="1"/>
  <c r="L64" i="29" s="1"/>
  <c r="S64" i="29"/>
  <c r="W63" i="7"/>
  <c r="L63" i="29"/>
  <c r="I81" i="29"/>
  <c r="M32" i="8" s="1"/>
  <c r="U32" i="8" s="1"/>
  <c r="Z51" i="20"/>
  <c r="AT51" i="20" s="1"/>
  <c r="Z61" i="24"/>
  <c r="BO61" i="24" s="1"/>
  <c r="AT61" i="24"/>
  <c r="B62" i="24" s="1"/>
  <c r="AP60" i="24"/>
  <c r="Z51" i="23"/>
  <c r="B58" i="22"/>
  <c r="BL57" i="22"/>
  <c r="Z51" i="26"/>
  <c r="H64" i="7"/>
  <c r="AI63" i="7"/>
  <c r="AJ63" i="7" s="1"/>
  <c r="W63" i="19"/>
  <c r="X63" i="19"/>
  <c r="AN62" i="21"/>
  <c r="AO62" i="21"/>
  <c r="I80" i="21"/>
  <c r="C31" i="8" s="1"/>
  <c r="R31" i="8" s="1"/>
  <c r="I64" i="19"/>
  <c r="AI64" i="19" s="1"/>
  <c r="Z64" i="12"/>
  <c r="AN64" i="12" s="1"/>
  <c r="B64" i="21"/>
  <c r="Z63" i="21"/>
  <c r="AG63" i="21" s="1"/>
  <c r="B28" i="14"/>
  <c r="AT68" i="4"/>
  <c r="J68" i="4"/>
  <c r="K68" i="4" s="1"/>
  <c r="L68" i="4" s="1"/>
  <c r="AJ68" i="4"/>
  <c r="Z58" i="10"/>
  <c r="AH58" i="10" s="1"/>
  <c r="K63" i="19"/>
  <c r="I80" i="19"/>
  <c r="I16" i="8" s="1"/>
  <c r="AF68" i="4"/>
  <c r="AT51" i="23" l="1"/>
  <c r="AU51" i="23"/>
  <c r="Y67" i="4"/>
  <c r="Y63" i="7"/>
  <c r="X68" i="4"/>
  <c r="W68" i="4"/>
  <c r="Y68" i="4" s="1"/>
  <c r="AP62" i="9"/>
  <c r="AH61" i="24"/>
  <c r="I81" i="9"/>
  <c r="L63" i="9"/>
  <c r="AQ60" i="24"/>
  <c r="AA63" i="9"/>
  <c r="AB63" i="9" s="1"/>
  <c r="AC63" i="9" s="1"/>
  <c r="AI63" i="9"/>
  <c r="AL63" i="9"/>
  <c r="AD63" i="9"/>
  <c r="AM63" i="9"/>
  <c r="AJ63" i="9"/>
  <c r="I80" i="25"/>
  <c r="L16" i="8" s="1"/>
  <c r="T16" i="8" s="1"/>
  <c r="K63" i="25"/>
  <c r="S64" i="9"/>
  <c r="I64" i="9"/>
  <c r="J64" i="9" s="1"/>
  <c r="K64" i="9" s="1"/>
  <c r="L64" i="9" s="1"/>
  <c r="X63" i="25"/>
  <c r="W63" i="25"/>
  <c r="AH51" i="23"/>
  <c r="I64" i="25"/>
  <c r="V64" i="25" s="1"/>
  <c r="BK51" i="20"/>
  <c r="BA51" i="20"/>
  <c r="AD51" i="20"/>
  <c r="AA51" i="20"/>
  <c r="AB51" i="20" s="1"/>
  <c r="AC51" i="20" s="1"/>
  <c r="AU51" i="20"/>
  <c r="AI51" i="20"/>
  <c r="AL51" i="20"/>
  <c r="AZ51" i="20"/>
  <c r="AX51" i="20"/>
  <c r="AN51" i="20"/>
  <c r="G16" i="8"/>
  <c r="F16" i="8"/>
  <c r="I58" i="22"/>
  <c r="J58" i="22" s="1"/>
  <c r="K58" i="22" s="1"/>
  <c r="L58" i="22" s="1"/>
  <c r="S58" i="22"/>
  <c r="AH51" i="20"/>
  <c r="I81" i="7"/>
  <c r="D17" i="8" s="1"/>
  <c r="S17" i="8" s="1"/>
  <c r="L63" i="7"/>
  <c r="AL51" i="26"/>
  <c r="BK51" i="26"/>
  <c r="AX51" i="26"/>
  <c r="AU51" i="26"/>
  <c r="AD51" i="26"/>
  <c r="BA51" i="26"/>
  <c r="AI51" i="26"/>
  <c r="AA51" i="26"/>
  <c r="AB51" i="26" s="1"/>
  <c r="AC51" i="26" s="1"/>
  <c r="AN51" i="26"/>
  <c r="AZ51" i="26"/>
  <c r="AT58" i="10"/>
  <c r="I64" i="7"/>
  <c r="V64" i="7" s="1"/>
  <c r="AI51" i="23"/>
  <c r="AA51" i="23"/>
  <c r="AB51" i="23" s="1"/>
  <c r="AC51" i="23" s="1"/>
  <c r="AN51" i="23"/>
  <c r="BK51" i="23"/>
  <c r="AX51" i="23"/>
  <c r="AD51" i="23"/>
  <c r="BA51" i="23"/>
  <c r="AL51" i="23"/>
  <c r="I62" i="24"/>
  <c r="J62" i="24" s="1"/>
  <c r="S62" i="24"/>
  <c r="B65" i="29"/>
  <c r="Z64" i="29"/>
  <c r="AT51" i="26"/>
  <c r="AN63" i="29"/>
  <c r="AH51" i="26"/>
  <c r="AA61" i="24"/>
  <c r="AB61" i="24" s="1"/>
  <c r="AC61" i="24" s="1"/>
  <c r="BU61" i="24"/>
  <c r="AD61" i="24"/>
  <c r="AK61" i="24"/>
  <c r="BA61" i="24"/>
  <c r="AJ61" i="24"/>
  <c r="AM61" i="24"/>
  <c r="BR61" i="24"/>
  <c r="AN61" i="24"/>
  <c r="BB61" i="24"/>
  <c r="BT61" i="24"/>
  <c r="BV61" i="24"/>
  <c r="BQ61" i="24"/>
  <c r="AO63" i="29"/>
  <c r="AM64" i="19"/>
  <c r="B65" i="19" s="1"/>
  <c r="J64" i="19"/>
  <c r="K64" i="19" s="1"/>
  <c r="L64" i="19" s="1"/>
  <c r="AT64" i="19"/>
  <c r="AU64" i="19" s="1"/>
  <c r="AJ64" i="19"/>
  <c r="AS64" i="19"/>
  <c r="H65" i="19" s="1"/>
  <c r="AR64" i="19"/>
  <c r="G65" i="19" s="1"/>
  <c r="AP64" i="19"/>
  <c r="E65" i="19" s="1"/>
  <c r="AO64" i="19"/>
  <c r="D65" i="19" s="1"/>
  <c r="L63" i="19"/>
  <c r="I81" i="19"/>
  <c r="I17" i="8" s="1"/>
  <c r="AD63" i="21"/>
  <c r="AA63" i="21"/>
  <c r="AB63" i="21" s="1"/>
  <c r="AC63" i="21" s="1"/>
  <c r="AM63" i="21"/>
  <c r="AJ63" i="21"/>
  <c r="AI63" i="21"/>
  <c r="AL63" i="21"/>
  <c r="P64" i="19"/>
  <c r="L63" i="21"/>
  <c r="I81" i="21"/>
  <c r="C32" i="8" s="1"/>
  <c r="R32" i="8" s="1"/>
  <c r="V64" i="19"/>
  <c r="AY64" i="12"/>
  <c r="G65" i="12" s="1"/>
  <c r="X65" i="12" s="1"/>
  <c r="BQ64" i="12"/>
  <c r="BO64" i="12"/>
  <c r="AW64" i="12"/>
  <c r="E65" i="12" s="1"/>
  <c r="V65" i="12" s="1"/>
  <c r="AT64" i="12"/>
  <c r="B65" i="12" s="1"/>
  <c r="AJ64" i="12"/>
  <c r="BR64" i="12"/>
  <c r="AM64" i="12"/>
  <c r="AV64" i="12"/>
  <c r="D65" i="12" s="1"/>
  <c r="U65" i="12" s="1"/>
  <c r="AZ64" i="12"/>
  <c r="H65" i="12" s="1"/>
  <c r="Y65" i="12" s="1"/>
  <c r="BA64" i="12"/>
  <c r="AH64" i="12"/>
  <c r="AK64" i="12"/>
  <c r="AA64" i="12"/>
  <c r="AB64" i="12" s="1"/>
  <c r="AC64" i="12" s="1"/>
  <c r="BT64" i="12"/>
  <c r="AD64" i="12"/>
  <c r="BV64" i="12"/>
  <c r="AH64" i="19"/>
  <c r="U64" i="19"/>
  <c r="AU68" i="4"/>
  <c r="AR68" i="4"/>
  <c r="G69" i="4" s="1"/>
  <c r="AO68" i="4"/>
  <c r="D69" i="4" s="1"/>
  <c r="AM68" i="4"/>
  <c r="AP68" i="4"/>
  <c r="E69" i="4" s="1"/>
  <c r="AS68" i="4"/>
  <c r="H69" i="4" s="1"/>
  <c r="I64" i="21"/>
  <c r="J64" i="21" s="1"/>
  <c r="K64" i="21" s="1"/>
  <c r="L64" i="21" s="1"/>
  <c r="BU64" i="12"/>
  <c r="R64" i="19"/>
  <c r="AC64" i="19"/>
  <c r="S64" i="19"/>
  <c r="BK58" i="10"/>
  <c r="AD58" i="10"/>
  <c r="BA58" i="10"/>
  <c r="AA58" i="10"/>
  <c r="AB58" i="10" s="1"/>
  <c r="AC58" i="10" s="1"/>
  <c r="AW58" i="10"/>
  <c r="AJ58" i="10"/>
  <c r="AN58" i="10"/>
  <c r="AK58" i="10"/>
  <c r="AM58" i="10"/>
  <c r="AE64" i="19"/>
  <c r="AP62" i="21"/>
  <c r="Y63" i="19"/>
  <c r="AF64" i="19"/>
  <c r="AP51" i="23" l="1"/>
  <c r="P64" i="25"/>
  <c r="AO51" i="23"/>
  <c r="AO63" i="9"/>
  <c r="AI64" i="25"/>
  <c r="AO63" i="21"/>
  <c r="Y63" i="25"/>
  <c r="B65" i="9"/>
  <c r="Z64" i="9"/>
  <c r="AP58" i="10"/>
  <c r="R64" i="25"/>
  <c r="AR64" i="25"/>
  <c r="G65" i="25" s="1"/>
  <c r="J64" i="25"/>
  <c r="K64" i="25" s="1"/>
  <c r="L64" i="25" s="1"/>
  <c r="AP64" i="25"/>
  <c r="E65" i="25" s="1"/>
  <c r="AJ64" i="25"/>
  <c r="AT64" i="25"/>
  <c r="AU64" i="25" s="1"/>
  <c r="AS64" i="25"/>
  <c r="H65" i="25" s="1"/>
  <c r="AO64" i="25"/>
  <c r="D65" i="25" s="1"/>
  <c r="AM64" i="25"/>
  <c r="B65" i="25" s="1"/>
  <c r="L63" i="25"/>
  <c r="I81" i="25"/>
  <c r="L17" i="8" s="1"/>
  <c r="T17" i="8" s="1"/>
  <c r="AH64" i="25"/>
  <c r="AO61" i="24"/>
  <c r="U64" i="25"/>
  <c r="AE64" i="25"/>
  <c r="AC64" i="25"/>
  <c r="AF64" i="25"/>
  <c r="AN63" i="9"/>
  <c r="AO51" i="20"/>
  <c r="S64" i="25"/>
  <c r="AP51" i="26"/>
  <c r="AO51" i="26"/>
  <c r="I65" i="29"/>
  <c r="J65" i="29" s="1"/>
  <c r="K65" i="29" s="1"/>
  <c r="L65" i="29" s="1"/>
  <c r="S65" i="29"/>
  <c r="BD51" i="23"/>
  <c r="BH51" i="23"/>
  <c r="G52" i="23" s="1"/>
  <c r="X52" i="23" s="1"/>
  <c r="BJ51" i="23"/>
  <c r="H52" i="23" s="1"/>
  <c r="Y52" i="23" s="1"/>
  <c r="BE51" i="23"/>
  <c r="C52" i="23" s="1"/>
  <c r="T52" i="23" s="1"/>
  <c r="G17" i="8"/>
  <c r="F17" i="8"/>
  <c r="BE51" i="20"/>
  <c r="C52" i="20" s="1"/>
  <c r="T52" i="20" s="1"/>
  <c r="BD51" i="20"/>
  <c r="BJ51" i="20"/>
  <c r="H52" i="20" s="1"/>
  <c r="Y52" i="20" s="1"/>
  <c r="BH51" i="20"/>
  <c r="G52" i="20" s="1"/>
  <c r="X52" i="20" s="1"/>
  <c r="AN63" i="21"/>
  <c r="Z62" i="24"/>
  <c r="AH62" i="24" s="1"/>
  <c r="I79" i="24"/>
  <c r="D31" i="8" s="1"/>
  <c r="K62" i="24"/>
  <c r="Z58" i="22"/>
  <c r="AP51" i="20"/>
  <c r="AP63" i="29"/>
  <c r="AM64" i="29"/>
  <c r="AD64" i="29"/>
  <c r="AI64" i="29"/>
  <c r="AA64" i="29"/>
  <c r="AB64" i="29" s="1"/>
  <c r="AC64" i="29" s="1"/>
  <c r="AJ64" i="29"/>
  <c r="AL64" i="29"/>
  <c r="AP61" i="24"/>
  <c r="BD51" i="26"/>
  <c r="BH51" i="26"/>
  <c r="BJ51" i="26"/>
  <c r="H52" i="26" s="1"/>
  <c r="Y52" i="26" s="1"/>
  <c r="BE51" i="26"/>
  <c r="AG64" i="29"/>
  <c r="R64" i="7"/>
  <c r="AD64" i="7"/>
  <c r="D65" i="7" s="1"/>
  <c r="AD65" i="7" s="1"/>
  <c r="D66" i="7" s="1"/>
  <c r="AD66" i="7" s="1"/>
  <c r="D67" i="7" s="1"/>
  <c r="AD67" i="7" s="1"/>
  <c r="D68" i="7" s="1"/>
  <c r="AB64" i="7"/>
  <c r="AE64" i="7"/>
  <c r="E65" i="7" s="1"/>
  <c r="AE65" i="7" s="1"/>
  <c r="E66" i="7" s="1"/>
  <c r="AE66" i="7" s="1"/>
  <c r="E67" i="7" s="1"/>
  <c r="AE67" i="7" s="1"/>
  <c r="E68" i="7" s="1"/>
  <c r="S64" i="7"/>
  <c r="U64" i="7"/>
  <c r="AG64" i="7"/>
  <c r="G65" i="7" s="1"/>
  <c r="AG65" i="7" s="1"/>
  <c r="G66" i="7" s="1"/>
  <c r="AG66" i="7" s="1"/>
  <c r="G67" i="7" s="1"/>
  <c r="AG67" i="7" s="1"/>
  <c r="G68" i="7" s="1"/>
  <c r="AH64" i="7"/>
  <c r="H65" i="7" s="1"/>
  <c r="AH65" i="7" s="1"/>
  <c r="H66" i="7" s="1"/>
  <c r="AH66" i="7" s="1"/>
  <c r="H67" i="7" s="1"/>
  <c r="AH67" i="7" s="1"/>
  <c r="H68" i="7" s="1"/>
  <c r="J64" i="7"/>
  <c r="K64" i="7" s="1"/>
  <c r="L64" i="7" s="1"/>
  <c r="P64" i="7"/>
  <c r="D24" i="14"/>
  <c r="B65" i="21"/>
  <c r="S65" i="21" s="1"/>
  <c r="AO69" i="4"/>
  <c r="D70" i="4" s="1"/>
  <c r="AO64" i="12"/>
  <c r="AP64" i="12"/>
  <c r="AW65" i="12"/>
  <c r="E66" i="12" s="1"/>
  <c r="V66" i="12" s="1"/>
  <c r="I65" i="19"/>
  <c r="R65" i="19" s="1"/>
  <c r="AS69" i="4"/>
  <c r="H70" i="4" s="1"/>
  <c r="AR69" i="4"/>
  <c r="G70" i="4" s="1"/>
  <c r="AO58" i="10"/>
  <c r="AP69" i="4"/>
  <c r="E70" i="4" s="1"/>
  <c r="BB64" i="12"/>
  <c r="AZ65" i="12"/>
  <c r="H66" i="12" s="1"/>
  <c r="Y66" i="12" s="1"/>
  <c r="W64" i="19"/>
  <c r="X64" i="19"/>
  <c r="BI58" i="10"/>
  <c r="G59" i="10" s="1"/>
  <c r="X59" i="10" s="1"/>
  <c r="BD58" i="10"/>
  <c r="BG58" i="10"/>
  <c r="E59" i="10" s="1"/>
  <c r="V59" i="10" s="1"/>
  <c r="BF58" i="10"/>
  <c r="D59" i="10" s="1"/>
  <c r="U59" i="10" s="1"/>
  <c r="BJ58" i="10"/>
  <c r="H59" i="10" s="1"/>
  <c r="Y59" i="10" s="1"/>
  <c r="AM80" i="4"/>
  <c r="B69" i="4"/>
  <c r="AV65" i="12"/>
  <c r="D66" i="12" s="1"/>
  <c r="U66" i="12" s="1"/>
  <c r="I65" i="12"/>
  <c r="J65" i="12" s="1"/>
  <c r="K65" i="12" s="1"/>
  <c r="L65" i="12" s="1"/>
  <c r="S65" i="12"/>
  <c r="AY65" i="12"/>
  <c r="G66" i="12" s="1"/>
  <c r="X66" i="12" s="1"/>
  <c r="AP63" i="21" l="1"/>
  <c r="G31" i="8"/>
  <c r="S31" i="8"/>
  <c r="U65" i="19"/>
  <c r="AQ51" i="23"/>
  <c r="X64" i="25"/>
  <c r="AQ58" i="10"/>
  <c r="AH65" i="19"/>
  <c r="AF65" i="19"/>
  <c r="AQ51" i="26"/>
  <c r="AP63" i="9"/>
  <c r="W64" i="25"/>
  <c r="BO62" i="24"/>
  <c r="I65" i="25"/>
  <c r="AC65" i="25" s="1"/>
  <c r="AQ61" i="24"/>
  <c r="AQ51" i="20"/>
  <c r="AI65" i="25"/>
  <c r="AG64" i="9"/>
  <c r="AM64" i="9"/>
  <c r="AA64" i="9"/>
  <c r="AB64" i="9" s="1"/>
  <c r="AC64" i="9" s="1"/>
  <c r="AD64" i="9"/>
  <c r="AL64" i="9"/>
  <c r="AI64" i="9"/>
  <c r="AJ64" i="9"/>
  <c r="S65" i="9"/>
  <c r="I65" i="9"/>
  <c r="J65" i="9" s="1"/>
  <c r="K65" i="9" s="1"/>
  <c r="L65" i="9" s="1"/>
  <c r="AI64" i="7"/>
  <c r="AJ64" i="7" s="1"/>
  <c r="B65" i="7"/>
  <c r="BR62" i="24"/>
  <c r="BT62" i="24"/>
  <c r="AN62" i="24"/>
  <c r="BQ62" i="24"/>
  <c r="AZ62" i="24"/>
  <c r="H63" i="24" s="1"/>
  <c r="AA62" i="24"/>
  <c r="AB62" i="24" s="1"/>
  <c r="AC62" i="24" s="1"/>
  <c r="AJ62" i="24"/>
  <c r="BV62" i="24"/>
  <c r="AD62" i="24"/>
  <c r="AK62" i="24"/>
  <c r="AM62" i="24"/>
  <c r="BA62" i="24"/>
  <c r="BU62" i="24"/>
  <c r="B52" i="26"/>
  <c r="BL51" i="26"/>
  <c r="X64" i="7"/>
  <c r="W64" i="7"/>
  <c r="BK58" i="22"/>
  <c r="AD58" i="22"/>
  <c r="BA58" i="22"/>
  <c r="AA58" i="22"/>
  <c r="AB58" i="22" s="1"/>
  <c r="AC58" i="22" s="1"/>
  <c r="AN58" i="22"/>
  <c r="AJ58" i="22"/>
  <c r="AM58" i="22"/>
  <c r="AK58" i="22"/>
  <c r="AW58" i="22"/>
  <c r="AT58" i="22"/>
  <c r="B52" i="23"/>
  <c r="BL51" i="23"/>
  <c r="AN64" i="29"/>
  <c r="AO64" i="29"/>
  <c r="AH58" i="22"/>
  <c r="B52" i="20"/>
  <c r="BL51" i="20"/>
  <c r="Z65" i="29"/>
  <c r="AG65" i="29" s="1"/>
  <c r="B66" i="29"/>
  <c r="I80" i="24"/>
  <c r="D32" i="8" s="1"/>
  <c r="L62" i="24"/>
  <c r="AD68" i="7"/>
  <c r="D69" i="7" s="1"/>
  <c r="AM65" i="19"/>
  <c r="B66" i="19" s="1"/>
  <c r="AT65" i="19"/>
  <c r="AU65" i="19" s="1"/>
  <c r="AP65" i="19"/>
  <c r="E66" i="19" s="1"/>
  <c r="AS65" i="19"/>
  <c r="H66" i="19" s="1"/>
  <c r="AR65" i="19"/>
  <c r="G66" i="19" s="1"/>
  <c r="J65" i="19"/>
  <c r="K65" i="19" s="1"/>
  <c r="L65" i="19" s="1"/>
  <c r="AO65" i="19"/>
  <c r="D66" i="19" s="1"/>
  <c r="AJ65" i="19"/>
  <c r="AA64" i="21"/>
  <c r="AB64" i="21" s="1"/>
  <c r="AC64" i="21" s="1"/>
  <c r="AD64" i="21"/>
  <c r="AL64" i="21"/>
  <c r="AM64" i="21"/>
  <c r="AI64" i="21"/>
  <c r="AJ64" i="21"/>
  <c r="BG59" i="10"/>
  <c r="E60" i="10" s="1"/>
  <c r="V60" i="10" s="1"/>
  <c r="AG68" i="7"/>
  <c r="G69" i="7" s="1"/>
  <c r="B59" i="10"/>
  <c r="BL58" i="10"/>
  <c r="V65" i="19"/>
  <c r="AQ64" i="12"/>
  <c r="AG64" i="21"/>
  <c r="AH68" i="7"/>
  <c r="H69" i="7" s="1"/>
  <c r="AT65" i="12"/>
  <c r="B66" i="12" s="1"/>
  <c r="Z65" i="12"/>
  <c r="BO65" i="12" s="1"/>
  <c r="BI59" i="10"/>
  <c r="G60" i="10" s="1"/>
  <c r="X60" i="10" s="1"/>
  <c r="S65" i="19"/>
  <c r="Y64" i="19"/>
  <c r="AE68" i="7"/>
  <c r="E69" i="7" s="1"/>
  <c r="AR70" i="4"/>
  <c r="G71" i="4" s="1"/>
  <c r="AS70" i="4"/>
  <c r="H71" i="4" s="1"/>
  <c r="AC65" i="19"/>
  <c r="AI65" i="19"/>
  <c r="AW66" i="12"/>
  <c r="E67" i="12" s="1"/>
  <c r="V67" i="12" s="1"/>
  <c r="AO70" i="4"/>
  <c r="D71" i="4" s="1"/>
  <c r="I65" i="21"/>
  <c r="J65" i="21" s="1"/>
  <c r="K65" i="21" s="1"/>
  <c r="L65" i="21" s="1"/>
  <c r="I69" i="4"/>
  <c r="AM69" i="4"/>
  <c r="B70" i="4" s="1"/>
  <c r="AP70" i="4"/>
  <c r="E71" i="4" s="1"/>
  <c r="AV66" i="12"/>
  <c r="D67" i="12" s="1"/>
  <c r="U67" i="12" s="1"/>
  <c r="BJ59" i="10"/>
  <c r="H60" i="10" s="1"/>
  <c r="Y60" i="10" s="1"/>
  <c r="AY66" i="12"/>
  <c r="G67" i="12" s="1"/>
  <c r="X67" i="12" s="1"/>
  <c r="BF59" i="10"/>
  <c r="D60" i="10" s="1"/>
  <c r="U60" i="10" s="1"/>
  <c r="AZ66" i="12"/>
  <c r="H67" i="12" s="1"/>
  <c r="Y67" i="12" s="1"/>
  <c r="AE65" i="19"/>
  <c r="P65" i="19"/>
  <c r="AC69" i="4" l="1"/>
  <c r="AH69" i="4"/>
  <c r="AI69" i="4"/>
  <c r="AE69" i="4"/>
  <c r="G32" i="8"/>
  <c r="S32" i="8"/>
  <c r="Y64" i="25"/>
  <c r="P65" i="25"/>
  <c r="Y64" i="7"/>
  <c r="AO64" i="9"/>
  <c r="AO58" i="22"/>
  <c r="Z65" i="9"/>
  <c r="AG65" i="9" s="1"/>
  <c r="B66" i="9"/>
  <c r="AM65" i="25"/>
  <c r="B66" i="25" s="1"/>
  <c r="AP65" i="25"/>
  <c r="E66" i="25" s="1"/>
  <c r="AO65" i="25"/>
  <c r="D66" i="25" s="1"/>
  <c r="AR65" i="25"/>
  <c r="G66" i="25" s="1"/>
  <c r="AS65" i="25"/>
  <c r="H66" i="25" s="1"/>
  <c r="AJ65" i="25"/>
  <c r="J65" i="25"/>
  <c r="K65" i="25" s="1"/>
  <c r="L65" i="25" s="1"/>
  <c r="AT65" i="25"/>
  <c r="AU65" i="25" s="1"/>
  <c r="V65" i="25"/>
  <c r="AH65" i="25"/>
  <c r="AP64" i="29"/>
  <c r="AN64" i="9"/>
  <c r="AE65" i="25"/>
  <c r="U65" i="25"/>
  <c r="AP62" i="24"/>
  <c r="R65" i="25"/>
  <c r="S65" i="25"/>
  <c r="AF65" i="25"/>
  <c r="Y63" i="24"/>
  <c r="I63" i="24"/>
  <c r="J63" i="24" s="1"/>
  <c r="K63" i="24" s="1"/>
  <c r="L63" i="24" s="1"/>
  <c r="S52" i="20"/>
  <c r="I52" i="20"/>
  <c r="J52" i="20" s="1"/>
  <c r="K52" i="20" s="1"/>
  <c r="L52" i="20" s="1"/>
  <c r="BJ58" i="22"/>
  <c r="H59" i="22" s="1"/>
  <c r="Y59" i="22" s="1"/>
  <c r="BI58" i="22"/>
  <c r="G59" i="22" s="1"/>
  <c r="X59" i="22" s="1"/>
  <c r="BD58" i="22"/>
  <c r="BF58" i="22"/>
  <c r="D59" i="22" s="1"/>
  <c r="U59" i="22" s="1"/>
  <c r="BG58" i="22"/>
  <c r="E59" i="22" s="1"/>
  <c r="V59" i="22" s="1"/>
  <c r="AP58" i="22"/>
  <c r="S52" i="23"/>
  <c r="I52" i="23"/>
  <c r="J52" i="23" s="1"/>
  <c r="K52" i="23" s="1"/>
  <c r="L52" i="23" s="1"/>
  <c r="S52" i="26"/>
  <c r="I52" i="26"/>
  <c r="J52" i="26" s="1"/>
  <c r="K52" i="26" s="1"/>
  <c r="L52" i="26" s="1"/>
  <c r="AO62" i="24"/>
  <c r="AB65" i="7"/>
  <c r="I65" i="7"/>
  <c r="P65" i="7" s="1"/>
  <c r="S66" i="29"/>
  <c r="I66" i="29"/>
  <c r="J66" i="29" s="1"/>
  <c r="K66" i="29" s="1"/>
  <c r="L66" i="29" s="1"/>
  <c r="BB62" i="24"/>
  <c r="AM65" i="29"/>
  <c r="AJ65" i="29"/>
  <c r="AA65" i="29"/>
  <c r="AB65" i="29" s="1"/>
  <c r="AC65" i="29" s="1"/>
  <c r="AL65" i="29"/>
  <c r="AI65" i="29"/>
  <c r="AD65" i="29"/>
  <c r="AY67" i="12"/>
  <c r="G68" i="12" s="1"/>
  <c r="X68" i="12" s="1"/>
  <c r="AP71" i="4"/>
  <c r="E72" i="4" s="1"/>
  <c r="B66" i="21"/>
  <c r="S66" i="21" s="1"/>
  <c r="Z65" i="21"/>
  <c r="AG65" i="21" s="1"/>
  <c r="AE69" i="7"/>
  <c r="E70" i="7" s="1"/>
  <c r="BI60" i="10"/>
  <c r="G61" i="10" s="1"/>
  <c r="X61" i="10" s="1"/>
  <c r="AZ67" i="12"/>
  <c r="H68" i="12" s="1"/>
  <c r="Y68" i="12" s="1"/>
  <c r="AM70" i="4"/>
  <c r="B71" i="4" s="1"/>
  <c r="I70" i="4"/>
  <c r="AR71" i="4"/>
  <c r="G72" i="4" s="1"/>
  <c r="BB65" i="12"/>
  <c r="BA65" i="12"/>
  <c r="AD65" i="12"/>
  <c r="AA65" i="12"/>
  <c r="AB65" i="12" s="1"/>
  <c r="AC65" i="12" s="1"/>
  <c r="BV65" i="12"/>
  <c r="BR65" i="12"/>
  <c r="AJ65" i="12"/>
  <c r="BT65" i="12"/>
  <c r="AN65" i="12"/>
  <c r="BQ65" i="12"/>
  <c r="AK65" i="12"/>
  <c r="BU65" i="12"/>
  <c r="AM65" i="12"/>
  <c r="AH69" i="7"/>
  <c r="H70" i="7" s="1"/>
  <c r="AN64" i="21"/>
  <c r="AO64" i="21"/>
  <c r="AG69" i="7"/>
  <c r="G70" i="7" s="1"/>
  <c r="W65" i="19"/>
  <c r="X65" i="19"/>
  <c r="BJ60" i="10"/>
  <c r="H61" i="10" s="1"/>
  <c r="Y61" i="10" s="1"/>
  <c r="AV67" i="12"/>
  <c r="D68" i="12" s="1"/>
  <c r="U68" i="12" s="1"/>
  <c r="AT69" i="4"/>
  <c r="AU69" i="4" s="1"/>
  <c r="J69" i="4"/>
  <c r="K69" i="4" s="1"/>
  <c r="L69" i="4" s="1"/>
  <c r="B29" i="14"/>
  <c r="AJ69" i="4"/>
  <c r="R69" i="4"/>
  <c r="U69" i="4"/>
  <c r="AF69" i="4"/>
  <c r="S69" i="4"/>
  <c r="V69" i="4"/>
  <c r="AW67" i="12"/>
  <c r="E68" i="12" s="1"/>
  <c r="V68" i="12" s="1"/>
  <c r="AS71" i="4"/>
  <c r="H72" i="4" s="1"/>
  <c r="S66" i="12"/>
  <c r="I66" i="12"/>
  <c r="J66" i="12" s="1"/>
  <c r="K66" i="12" s="1"/>
  <c r="L66" i="12" s="1"/>
  <c r="BG60" i="10"/>
  <c r="E61" i="10" s="1"/>
  <c r="V61" i="10" s="1"/>
  <c r="I66" i="19"/>
  <c r="AF66" i="19" s="1"/>
  <c r="AD69" i="7"/>
  <c r="D70" i="7" s="1"/>
  <c r="BF60" i="10"/>
  <c r="D61" i="10" s="1"/>
  <c r="U61" i="10" s="1"/>
  <c r="P69" i="4"/>
  <c r="AO71" i="4"/>
  <c r="D72" i="4" s="1"/>
  <c r="AH65" i="12"/>
  <c r="I59" i="10"/>
  <c r="J59" i="10" s="1"/>
  <c r="K59" i="10" s="1"/>
  <c r="L59" i="10" s="1"/>
  <c r="S59" i="10"/>
  <c r="AC70" i="4" l="1"/>
  <c r="AE70" i="4"/>
  <c r="AH70" i="4"/>
  <c r="AI70" i="4"/>
  <c r="P70" i="4"/>
  <c r="AQ62" i="24"/>
  <c r="AP64" i="9"/>
  <c r="AQ58" i="22"/>
  <c r="AI66" i="19"/>
  <c r="U66" i="19"/>
  <c r="V66" i="19"/>
  <c r="AC66" i="19"/>
  <c r="W65" i="25"/>
  <c r="I66" i="9"/>
  <c r="J66" i="9" s="1"/>
  <c r="K66" i="9" s="1"/>
  <c r="L66" i="9" s="1"/>
  <c r="S66" i="9"/>
  <c r="AJ65" i="9"/>
  <c r="AD65" i="9"/>
  <c r="AI65" i="9"/>
  <c r="AA65" i="9"/>
  <c r="AB65" i="9" s="1"/>
  <c r="AC65" i="9" s="1"/>
  <c r="AM65" i="9"/>
  <c r="AL65" i="9"/>
  <c r="AO65" i="29"/>
  <c r="I66" i="25"/>
  <c r="AC66" i="25" s="1"/>
  <c r="X65" i="25"/>
  <c r="BJ59" i="22"/>
  <c r="H60" i="22" s="1"/>
  <c r="Y60" i="22" s="1"/>
  <c r="Z66" i="29"/>
  <c r="AG66" i="29" s="1"/>
  <c r="B67" i="29"/>
  <c r="Z52" i="26"/>
  <c r="AH52" i="26" s="1"/>
  <c r="Y65" i="19"/>
  <c r="Z52" i="20"/>
  <c r="AH52" i="20" s="1"/>
  <c r="Z52" i="23"/>
  <c r="AU52" i="23" s="1"/>
  <c r="AN65" i="29"/>
  <c r="BG59" i="22"/>
  <c r="E60" i="22" s="1"/>
  <c r="V60" i="22" s="1"/>
  <c r="Z63" i="24"/>
  <c r="AN63" i="24" s="1"/>
  <c r="V65" i="7"/>
  <c r="J65" i="7"/>
  <c r="K65" i="7" s="1"/>
  <c r="L65" i="7" s="1"/>
  <c r="D25" i="14"/>
  <c r="R65" i="7"/>
  <c r="U65" i="7"/>
  <c r="S65" i="7"/>
  <c r="BF59" i="22"/>
  <c r="D60" i="22" s="1"/>
  <c r="U60" i="22" s="1"/>
  <c r="BI59" i="22"/>
  <c r="G60" i="22" s="1"/>
  <c r="X60" i="22" s="1"/>
  <c r="AI65" i="7"/>
  <c r="AJ65" i="7" s="1"/>
  <c r="B66" i="7"/>
  <c r="B59" i="22"/>
  <c r="BL58" i="22"/>
  <c r="AT66" i="12"/>
  <c r="B67" i="12" s="1"/>
  <c r="Z66" i="12"/>
  <c r="BO66" i="12" s="1"/>
  <c r="I71" i="4"/>
  <c r="AM71" i="4"/>
  <c r="B72" i="4" s="1"/>
  <c r="AZ68" i="12"/>
  <c r="H69" i="12" s="1"/>
  <c r="Y69" i="12" s="1"/>
  <c r="AP66" i="19"/>
  <c r="E67" i="19" s="1"/>
  <c r="AO66" i="19"/>
  <c r="D67" i="19" s="1"/>
  <c r="AM66" i="19"/>
  <c r="B67" i="19" s="1"/>
  <c r="J66" i="19"/>
  <c r="K66" i="19" s="1"/>
  <c r="L66" i="19" s="1"/>
  <c r="AS66" i="19"/>
  <c r="H67" i="19" s="1"/>
  <c r="AR66" i="19"/>
  <c r="G67" i="19" s="1"/>
  <c r="AT66" i="19"/>
  <c r="AU66" i="19" s="1"/>
  <c r="AJ66" i="19"/>
  <c r="AH70" i="7"/>
  <c r="H71" i="7" s="1"/>
  <c r="AE66" i="19"/>
  <c r="I66" i="21"/>
  <c r="J66" i="21" s="1"/>
  <c r="K66" i="21" s="1"/>
  <c r="L66" i="21" s="1"/>
  <c r="AY68" i="12"/>
  <c r="G69" i="12" s="1"/>
  <c r="X69" i="12" s="1"/>
  <c r="W69" i="4"/>
  <c r="X69" i="4"/>
  <c r="AP65" i="12"/>
  <c r="AO65" i="12"/>
  <c r="P66" i="19"/>
  <c r="AW68" i="12"/>
  <c r="E69" i="12" s="1"/>
  <c r="V69" i="12" s="1"/>
  <c r="AV68" i="12"/>
  <c r="D69" i="12" s="1"/>
  <c r="U69" i="12" s="1"/>
  <c r="R66" i="19"/>
  <c r="AE70" i="7"/>
  <c r="E71" i="7" s="1"/>
  <c r="BD59" i="10"/>
  <c r="B60" i="10" s="1"/>
  <c r="Z59" i="10"/>
  <c r="AT59" i="10" s="1"/>
  <c r="AD70" i="7"/>
  <c r="D71" i="7" s="1"/>
  <c r="AH66" i="19"/>
  <c r="AG70" i="7"/>
  <c r="G71" i="7" s="1"/>
  <c r="AP64" i="21"/>
  <c r="AT70" i="4"/>
  <c r="AU70" i="4" s="1"/>
  <c r="B30" i="14"/>
  <c r="AJ70" i="4"/>
  <c r="J70" i="4"/>
  <c r="K70" i="4" s="1"/>
  <c r="L70" i="4" s="1"/>
  <c r="S70" i="4"/>
  <c r="U70" i="4"/>
  <c r="R70" i="4"/>
  <c r="AF70" i="4"/>
  <c r="V70" i="4"/>
  <c r="S66" i="19"/>
  <c r="AD65" i="21"/>
  <c r="AA65" i="21"/>
  <c r="AB65" i="21" s="1"/>
  <c r="AC65" i="21" s="1"/>
  <c r="AL65" i="21"/>
  <c r="AM65" i="21"/>
  <c r="AJ65" i="21"/>
  <c r="AI65" i="21"/>
  <c r="AE71" i="4" l="1"/>
  <c r="AH71" i="4"/>
  <c r="AI71" i="4"/>
  <c r="S66" i="25"/>
  <c r="AP65" i="29"/>
  <c r="Y65" i="25"/>
  <c r="AO65" i="9"/>
  <c r="AT52" i="20"/>
  <c r="AF66" i="25"/>
  <c r="AO65" i="21"/>
  <c r="AH59" i="10"/>
  <c r="AQ65" i="12"/>
  <c r="W65" i="7"/>
  <c r="AT66" i="25"/>
  <c r="AU66" i="25" s="1"/>
  <c r="AR66" i="25"/>
  <c r="G67" i="25" s="1"/>
  <c r="AO66" i="25"/>
  <c r="D67" i="25" s="1"/>
  <c r="AJ66" i="25"/>
  <c r="AP66" i="25"/>
  <c r="E67" i="25" s="1"/>
  <c r="AM66" i="25"/>
  <c r="B67" i="25" s="1"/>
  <c r="J66" i="25"/>
  <c r="K66" i="25" s="1"/>
  <c r="L66" i="25" s="1"/>
  <c r="AS66" i="25"/>
  <c r="H67" i="25" s="1"/>
  <c r="R66" i="25"/>
  <c r="AI66" i="25"/>
  <c r="AE66" i="25"/>
  <c r="V66" i="25"/>
  <c r="B67" i="9"/>
  <c r="Z66" i="9"/>
  <c r="AG66" i="9" s="1"/>
  <c r="U66" i="25"/>
  <c r="AN65" i="9"/>
  <c r="AH66" i="25"/>
  <c r="P66" i="25"/>
  <c r="AY52" i="26"/>
  <c r="BK52" i="26"/>
  <c r="AI52" i="26"/>
  <c r="BA52" i="26"/>
  <c r="AM52" i="26"/>
  <c r="AD52" i="26"/>
  <c r="AU52" i="26"/>
  <c r="AA52" i="26"/>
  <c r="AB52" i="26" s="1"/>
  <c r="AC52" i="26" s="1"/>
  <c r="AN52" i="26"/>
  <c r="AZ52" i="26"/>
  <c r="BI60" i="22"/>
  <c r="G61" i="22" s="1"/>
  <c r="X61" i="22" s="1"/>
  <c r="AH52" i="23"/>
  <c r="BA52" i="23"/>
  <c r="BK52" i="23"/>
  <c r="AN52" i="23"/>
  <c r="AA52" i="23"/>
  <c r="AB52" i="23" s="1"/>
  <c r="AC52" i="23" s="1"/>
  <c r="AM52" i="23"/>
  <c r="AD52" i="23"/>
  <c r="AI52" i="23"/>
  <c r="S59" i="22"/>
  <c r="I59" i="22"/>
  <c r="J59" i="22" s="1"/>
  <c r="K59" i="22" s="1"/>
  <c r="L59" i="22" s="1"/>
  <c r="BF60" i="22"/>
  <c r="D61" i="22" s="1"/>
  <c r="U61" i="22" s="1"/>
  <c r="BU63" i="24"/>
  <c r="BV63" i="24"/>
  <c r="AY63" i="24"/>
  <c r="G64" i="24" s="1"/>
  <c r="X64" i="24" s="1"/>
  <c r="AH63" i="24"/>
  <c r="BQ63" i="24"/>
  <c r="AJ63" i="24"/>
  <c r="BO63" i="24"/>
  <c r="BA63" i="24"/>
  <c r="BT63" i="24"/>
  <c r="AD63" i="24"/>
  <c r="AW63" i="24"/>
  <c r="E64" i="24" s="1"/>
  <c r="V64" i="24" s="1"/>
  <c r="BR63" i="24"/>
  <c r="AT63" i="24"/>
  <c r="B64" i="24" s="1"/>
  <c r="AM63" i="24"/>
  <c r="AK63" i="24"/>
  <c r="AA63" i="24"/>
  <c r="AB63" i="24" s="1"/>
  <c r="AC63" i="24" s="1"/>
  <c r="AV63" i="24"/>
  <c r="D64" i="24" s="1"/>
  <c r="U64" i="24" s="1"/>
  <c r="AZ63" i="24"/>
  <c r="H64" i="24" s="1"/>
  <c r="Y64" i="24" s="1"/>
  <c r="BK52" i="20"/>
  <c r="AA52" i="20"/>
  <c r="AB52" i="20" s="1"/>
  <c r="AC52" i="20" s="1"/>
  <c r="BA52" i="20"/>
  <c r="AD52" i="20"/>
  <c r="AN52" i="20"/>
  <c r="AU52" i="20"/>
  <c r="AZ52" i="20"/>
  <c r="AM52" i="20"/>
  <c r="AY52" i="20"/>
  <c r="AI52" i="20"/>
  <c r="S67" i="29"/>
  <c r="I67" i="29"/>
  <c r="J67" i="29" s="1"/>
  <c r="K67" i="29" s="1"/>
  <c r="L67" i="29" s="1"/>
  <c r="AB66" i="7"/>
  <c r="I66" i="7"/>
  <c r="P66" i="7" s="1"/>
  <c r="AM66" i="29"/>
  <c r="AD66" i="29"/>
  <c r="AJ66" i="29"/>
  <c r="AA66" i="29"/>
  <c r="AB66" i="29" s="1"/>
  <c r="AC66" i="29" s="1"/>
  <c r="AI66" i="29"/>
  <c r="AL66" i="29"/>
  <c r="X65" i="7"/>
  <c r="BG60" i="22"/>
  <c r="E61" i="22" s="1"/>
  <c r="V61" i="22" s="1"/>
  <c r="X70" i="4"/>
  <c r="AT52" i="23"/>
  <c r="AT52" i="26"/>
  <c r="BJ60" i="22"/>
  <c r="H61" i="22" s="1"/>
  <c r="Y61" i="22" s="1"/>
  <c r="AW69" i="12"/>
  <c r="E70" i="12" s="1"/>
  <c r="V70" i="12" s="1"/>
  <c r="AY69" i="12"/>
  <c r="G70" i="12" s="1"/>
  <c r="X70" i="12" s="1"/>
  <c r="AN65" i="21"/>
  <c r="I72" i="4"/>
  <c r="AG71" i="7"/>
  <c r="G72" i="7" s="1"/>
  <c r="AD71" i="7"/>
  <c r="D72" i="7" s="1"/>
  <c r="AA59" i="10"/>
  <c r="AB59" i="10" s="1"/>
  <c r="AC59" i="10" s="1"/>
  <c r="BL59" i="10"/>
  <c r="BK59" i="10"/>
  <c r="AD59" i="10"/>
  <c r="BA59" i="10"/>
  <c r="AK59" i="10"/>
  <c r="AJ59" i="10"/>
  <c r="AM59" i="10"/>
  <c r="AN59" i="10"/>
  <c r="AW59" i="10"/>
  <c r="W70" i="4"/>
  <c r="Y69" i="4"/>
  <c r="I67" i="19"/>
  <c r="AE67" i="19" s="1"/>
  <c r="B31" i="14"/>
  <c r="AT71" i="4"/>
  <c r="AU71" i="4" s="1"/>
  <c r="AJ71" i="4"/>
  <c r="J71" i="4"/>
  <c r="K71" i="4" s="1"/>
  <c r="L71" i="4" s="1"/>
  <c r="S71" i="4"/>
  <c r="V71" i="4"/>
  <c r="R71" i="4"/>
  <c r="AF71" i="4"/>
  <c r="U71" i="4"/>
  <c r="BB66" i="12"/>
  <c r="AD66" i="12"/>
  <c r="BV66" i="12"/>
  <c r="AA66" i="12"/>
  <c r="AB66" i="12" s="1"/>
  <c r="AC66" i="12" s="1"/>
  <c r="BA66" i="12"/>
  <c r="BT66" i="12"/>
  <c r="AN66" i="12"/>
  <c r="BQ66" i="12"/>
  <c r="AM66" i="12"/>
  <c r="BU66" i="12"/>
  <c r="BR66" i="12"/>
  <c r="AJ66" i="12"/>
  <c r="AK66" i="12"/>
  <c r="AV69" i="12"/>
  <c r="D70" i="12" s="1"/>
  <c r="U70" i="12" s="1"/>
  <c r="AH71" i="7"/>
  <c r="H72" i="7" s="1"/>
  <c r="AH67" i="19"/>
  <c r="AZ69" i="12"/>
  <c r="H70" i="12" s="1"/>
  <c r="Y70" i="12" s="1"/>
  <c r="P71" i="4"/>
  <c r="S67" i="12"/>
  <c r="I67" i="12"/>
  <c r="J67" i="12" s="1"/>
  <c r="K67" i="12" s="1"/>
  <c r="L67" i="12" s="1"/>
  <c r="I60" i="10"/>
  <c r="J60" i="10" s="1"/>
  <c r="K60" i="10" s="1"/>
  <c r="L60" i="10" s="1"/>
  <c r="S60" i="10"/>
  <c r="AE71" i="7"/>
  <c r="E72" i="7" s="1"/>
  <c r="W66" i="19"/>
  <c r="X66" i="19"/>
  <c r="B67" i="21"/>
  <c r="S67" i="21" s="1"/>
  <c r="Z66" i="21"/>
  <c r="AG66" i="21" s="1"/>
  <c r="AC71" i="4"/>
  <c r="AH66" i="12"/>
  <c r="AP65" i="21" l="1"/>
  <c r="P72" i="4"/>
  <c r="AE72" i="4"/>
  <c r="AH72" i="4"/>
  <c r="AI72" i="4"/>
  <c r="Y65" i="7"/>
  <c r="AP65" i="9"/>
  <c r="AF67" i="19"/>
  <c r="S67" i="19"/>
  <c r="AI67" i="19"/>
  <c r="Y66" i="19"/>
  <c r="AP52" i="26"/>
  <c r="AO52" i="26"/>
  <c r="AD66" i="9"/>
  <c r="AJ66" i="9"/>
  <c r="AI66" i="9"/>
  <c r="AM66" i="9"/>
  <c r="AL66" i="9"/>
  <c r="AA66" i="9"/>
  <c r="AB66" i="9" s="1"/>
  <c r="AC66" i="9" s="1"/>
  <c r="I67" i="25"/>
  <c r="R67" i="25" s="1"/>
  <c r="S67" i="9"/>
  <c r="I67" i="9"/>
  <c r="J67" i="9" s="1"/>
  <c r="K67" i="9" s="1"/>
  <c r="L67" i="9" s="1"/>
  <c r="V67" i="19"/>
  <c r="AO59" i="10"/>
  <c r="X66" i="25"/>
  <c r="W66" i="25"/>
  <c r="AP52" i="20"/>
  <c r="AP52" i="23"/>
  <c r="BB63" i="24"/>
  <c r="AP59" i="10"/>
  <c r="S64" i="24"/>
  <c r="I64" i="24"/>
  <c r="J64" i="24" s="1"/>
  <c r="K64" i="24" s="1"/>
  <c r="L64" i="24" s="1"/>
  <c r="J66" i="7"/>
  <c r="K66" i="7" s="1"/>
  <c r="L66" i="7" s="1"/>
  <c r="S66" i="7"/>
  <c r="D26" i="14"/>
  <c r="R66" i="7"/>
  <c r="V66" i="7"/>
  <c r="U66" i="7"/>
  <c r="BJ52" i="20"/>
  <c r="H53" i="20" s="1"/>
  <c r="Y53" i="20" s="1"/>
  <c r="BI52" i="20"/>
  <c r="G53" i="20" s="1"/>
  <c r="X53" i="20" s="1"/>
  <c r="BD52" i="20"/>
  <c r="BE52" i="20"/>
  <c r="C53" i="20" s="1"/>
  <c r="T53" i="20" s="1"/>
  <c r="AP63" i="24"/>
  <c r="AO63" i="24"/>
  <c r="Z59" i="22"/>
  <c r="AH59" i="22" s="1"/>
  <c r="BD59" i="22"/>
  <c r="B60" i="22" s="1"/>
  <c r="AI66" i="7"/>
  <c r="AJ66" i="7" s="1"/>
  <c r="B67" i="7"/>
  <c r="AW64" i="24"/>
  <c r="E65" i="24" s="1"/>
  <c r="V65" i="24" s="1"/>
  <c r="AY64" i="24"/>
  <c r="G65" i="24" s="1"/>
  <c r="X65" i="24" s="1"/>
  <c r="BI52" i="23"/>
  <c r="G53" i="23" s="1"/>
  <c r="X53" i="23" s="1"/>
  <c r="BJ52" i="23"/>
  <c r="H53" i="23" s="1"/>
  <c r="Y53" i="23" s="1"/>
  <c r="BD52" i="23"/>
  <c r="BE52" i="23"/>
  <c r="C53" i="23" s="1"/>
  <c r="T53" i="23" s="1"/>
  <c r="AO66" i="29"/>
  <c r="AZ64" i="24"/>
  <c r="H65" i="24" s="1"/>
  <c r="Y65" i="24" s="1"/>
  <c r="AV64" i="24"/>
  <c r="D65" i="24" s="1"/>
  <c r="U65" i="24" s="1"/>
  <c r="BE52" i="26"/>
  <c r="BJ52" i="26"/>
  <c r="H53" i="26" s="1"/>
  <c r="Y53" i="26" s="1"/>
  <c r="BI52" i="26"/>
  <c r="BD52" i="26"/>
  <c r="Y70" i="4"/>
  <c r="AO52" i="23"/>
  <c r="Z67" i="29"/>
  <c r="B68" i="29"/>
  <c r="AN66" i="29"/>
  <c r="AO52" i="20"/>
  <c r="AM67" i="19"/>
  <c r="B68" i="19" s="1"/>
  <c r="AT67" i="19"/>
  <c r="AU67" i="19" s="1"/>
  <c r="AJ67" i="19"/>
  <c r="AS67" i="19"/>
  <c r="H68" i="19" s="1"/>
  <c r="AR67" i="19"/>
  <c r="G68" i="19" s="1"/>
  <c r="J67" i="19"/>
  <c r="K67" i="19" s="1"/>
  <c r="L67" i="19" s="1"/>
  <c r="AP67" i="19"/>
  <c r="E68" i="19" s="1"/>
  <c r="AO67" i="19"/>
  <c r="D68" i="19" s="1"/>
  <c r="AG72" i="7"/>
  <c r="G73" i="7" s="1"/>
  <c r="AZ70" i="12"/>
  <c r="H71" i="12" s="1"/>
  <c r="Y71" i="12" s="1"/>
  <c r="AH72" i="7"/>
  <c r="H73" i="7" s="1"/>
  <c r="AY70" i="12"/>
  <c r="G71" i="12" s="1"/>
  <c r="X71" i="12" s="1"/>
  <c r="AP66" i="12"/>
  <c r="AO66" i="12"/>
  <c r="AD66" i="21"/>
  <c r="AA66" i="21"/>
  <c r="AB66" i="21" s="1"/>
  <c r="AC66" i="21" s="1"/>
  <c r="AL66" i="21"/>
  <c r="AI66" i="21"/>
  <c r="AJ66" i="21"/>
  <c r="AM66" i="21"/>
  <c r="AE72" i="7"/>
  <c r="E73" i="7" s="1"/>
  <c r="Z67" i="12"/>
  <c r="AT67" i="12"/>
  <c r="B68" i="12" s="1"/>
  <c r="X71" i="4"/>
  <c r="W71" i="4"/>
  <c r="U67" i="19"/>
  <c r="AV70" i="12"/>
  <c r="D71" i="12" s="1"/>
  <c r="U71" i="12" s="1"/>
  <c r="P67" i="19"/>
  <c r="AD72" i="7"/>
  <c r="D73" i="7" s="1"/>
  <c r="B32" i="14"/>
  <c r="AJ72" i="4"/>
  <c r="AT72" i="4"/>
  <c r="J72" i="4"/>
  <c r="K72" i="4" s="1"/>
  <c r="L72" i="4" s="1"/>
  <c r="V72" i="4"/>
  <c r="S72" i="4"/>
  <c r="AF72" i="4"/>
  <c r="U72" i="4"/>
  <c r="R72" i="4"/>
  <c r="AW70" i="12"/>
  <c r="E71" i="12" s="1"/>
  <c r="V71" i="12" s="1"/>
  <c r="BD60" i="10"/>
  <c r="B61" i="10" s="1"/>
  <c r="Z60" i="10"/>
  <c r="AH60" i="10" s="1"/>
  <c r="I67" i="21"/>
  <c r="J67" i="21" s="1"/>
  <c r="K67" i="21" s="1"/>
  <c r="L67" i="21" s="1"/>
  <c r="R67" i="19"/>
  <c r="AC67" i="19"/>
  <c r="AC72" i="4"/>
  <c r="AU72" i="4" l="1"/>
  <c r="AR72" i="4"/>
  <c r="G73" i="4" s="1"/>
  <c r="AR73" i="4" s="1"/>
  <c r="G74" i="4" s="1"/>
  <c r="AS72" i="4"/>
  <c r="H73" i="4" s="1"/>
  <c r="AS73" i="4" s="1"/>
  <c r="H74" i="4" s="1"/>
  <c r="AP72" i="4"/>
  <c r="E73" i="4" s="1"/>
  <c r="AP73" i="4" s="1"/>
  <c r="E74" i="4" s="1"/>
  <c r="AM72" i="4"/>
  <c r="B73" i="4" s="1"/>
  <c r="AO72" i="4"/>
  <c r="D73" i="4" s="1"/>
  <c r="AO73" i="4" s="1"/>
  <c r="D74" i="4" s="1"/>
  <c r="Y66" i="25"/>
  <c r="AQ52" i="23"/>
  <c r="AP66" i="29"/>
  <c r="AT59" i="22"/>
  <c r="X66" i="7"/>
  <c r="AQ52" i="26"/>
  <c r="AQ59" i="10"/>
  <c r="AF67" i="25"/>
  <c r="V67" i="25"/>
  <c r="AE67" i="25"/>
  <c r="S67" i="25"/>
  <c r="P67" i="25"/>
  <c r="AO66" i="9"/>
  <c r="W66" i="7"/>
  <c r="AH67" i="25"/>
  <c r="Z67" i="9"/>
  <c r="AG67" i="9" s="1"/>
  <c r="B68" i="9"/>
  <c r="AI67" i="25"/>
  <c r="AM67" i="25"/>
  <c r="B68" i="25" s="1"/>
  <c r="AJ67" i="25"/>
  <c r="AT67" i="25"/>
  <c r="AU67" i="25" s="1"/>
  <c r="AR67" i="25"/>
  <c r="G68" i="25" s="1"/>
  <c r="AO67" i="25"/>
  <c r="D68" i="25" s="1"/>
  <c r="AS67" i="25"/>
  <c r="H68" i="25" s="1"/>
  <c r="J67" i="25"/>
  <c r="K67" i="25" s="1"/>
  <c r="L67" i="25" s="1"/>
  <c r="AP67" i="25"/>
  <c r="E68" i="25" s="1"/>
  <c r="AQ66" i="12"/>
  <c r="AQ52" i="20"/>
  <c r="U67" i="25"/>
  <c r="AC67" i="25"/>
  <c r="AN66" i="9"/>
  <c r="AJ67" i="29"/>
  <c r="AL67" i="29"/>
  <c r="AI67" i="29"/>
  <c r="AA67" i="29"/>
  <c r="AB67" i="29" s="1"/>
  <c r="AC67" i="29" s="1"/>
  <c r="AM67" i="29"/>
  <c r="AD67" i="29"/>
  <c r="X72" i="4"/>
  <c r="AN66" i="21"/>
  <c r="AV65" i="24"/>
  <c r="D66" i="24" s="1"/>
  <c r="U66" i="24" s="1"/>
  <c r="AV66" i="24" s="1"/>
  <c r="D67" i="24" s="1"/>
  <c r="U67" i="24" s="1"/>
  <c r="AV67" i="24" s="1"/>
  <c r="D68" i="24" s="1"/>
  <c r="U68" i="24" s="1"/>
  <c r="AV68" i="24" s="1"/>
  <c r="D69" i="24" s="1"/>
  <c r="U69" i="24" s="1"/>
  <c r="AV69" i="24" s="1"/>
  <c r="D70" i="24" s="1"/>
  <c r="U70" i="24" s="1"/>
  <c r="AV70" i="24" s="1"/>
  <c r="D71" i="24" s="1"/>
  <c r="U71" i="24" s="1"/>
  <c r="B53" i="23"/>
  <c r="BL52" i="23"/>
  <c r="AW65" i="24"/>
  <c r="E66" i="24" s="1"/>
  <c r="V66" i="24" s="1"/>
  <c r="AW66" i="24" s="1"/>
  <c r="E67" i="24" s="1"/>
  <c r="V67" i="24" s="1"/>
  <c r="AW67" i="24" s="1"/>
  <c r="E68" i="24" s="1"/>
  <c r="V68" i="24" s="1"/>
  <c r="AW68" i="24" s="1"/>
  <c r="E69" i="24" s="1"/>
  <c r="V69" i="24" s="1"/>
  <c r="AW69" i="24" s="1"/>
  <c r="E70" i="24" s="1"/>
  <c r="V70" i="24" s="1"/>
  <c r="AW70" i="24" s="1"/>
  <c r="E71" i="24" s="1"/>
  <c r="V71" i="24" s="1"/>
  <c r="S60" i="22"/>
  <c r="I60" i="22"/>
  <c r="J60" i="22" s="1"/>
  <c r="K60" i="22" s="1"/>
  <c r="L60" i="22" s="1"/>
  <c r="I67" i="7"/>
  <c r="AB67" i="7"/>
  <c r="BA59" i="22"/>
  <c r="BL59" i="22"/>
  <c r="BK59" i="22"/>
  <c r="AD59" i="22"/>
  <c r="AA59" i="22"/>
  <c r="AB59" i="22" s="1"/>
  <c r="AC59" i="22" s="1"/>
  <c r="AM59" i="22"/>
  <c r="AN59" i="22"/>
  <c r="AK59" i="22"/>
  <c r="AW59" i="22"/>
  <c r="AJ59" i="22"/>
  <c r="B53" i="26"/>
  <c r="BL52" i="26"/>
  <c r="AQ63" i="24"/>
  <c r="AZ65" i="24"/>
  <c r="H66" i="24" s="1"/>
  <c r="Y66" i="24" s="1"/>
  <c r="AZ66" i="24" s="1"/>
  <c r="H67" i="24" s="1"/>
  <c r="Y67" i="24" s="1"/>
  <c r="AZ67" i="24" s="1"/>
  <c r="H68" i="24" s="1"/>
  <c r="Y68" i="24" s="1"/>
  <c r="AZ68" i="24" s="1"/>
  <c r="H69" i="24" s="1"/>
  <c r="Y69" i="24" s="1"/>
  <c r="AZ69" i="24" s="1"/>
  <c r="H70" i="24" s="1"/>
  <c r="Y70" i="24" s="1"/>
  <c r="AZ70" i="24" s="1"/>
  <c r="H71" i="24" s="1"/>
  <c r="Y71" i="24" s="1"/>
  <c r="AG67" i="29"/>
  <c r="I68" i="29"/>
  <c r="J68" i="29" s="1"/>
  <c r="K68" i="29" s="1"/>
  <c r="L68" i="29" s="1"/>
  <c r="S68" i="29"/>
  <c r="AY65" i="24"/>
  <c r="G66" i="24" s="1"/>
  <c r="X66" i="24" s="1"/>
  <c r="AY66" i="24" s="1"/>
  <c r="G67" i="24" s="1"/>
  <c r="X67" i="24" s="1"/>
  <c r="AY67" i="24" s="1"/>
  <c r="G68" i="24" s="1"/>
  <c r="X68" i="24" s="1"/>
  <c r="AY68" i="24" s="1"/>
  <c r="G69" i="24" s="1"/>
  <c r="X69" i="24" s="1"/>
  <c r="AY69" i="24" s="1"/>
  <c r="G70" i="24" s="1"/>
  <c r="X70" i="24" s="1"/>
  <c r="AY70" i="24" s="1"/>
  <c r="G71" i="24" s="1"/>
  <c r="X71" i="24" s="1"/>
  <c r="B53" i="20"/>
  <c r="BL52" i="20"/>
  <c r="Z64" i="24"/>
  <c r="BO64" i="24" s="1"/>
  <c r="AT64" i="24"/>
  <c r="B65" i="24" s="1"/>
  <c r="X67" i="19"/>
  <c r="W67" i="19"/>
  <c r="BA67" i="12"/>
  <c r="AD67" i="12"/>
  <c r="BB67" i="12"/>
  <c r="BV67" i="12"/>
  <c r="AA67" i="12"/>
  <c r="AB67" i="12" s="1"/>
  <c r="AC67" i="12" s="1"/>
  <c r="AM67" i="12"/>
  <c r="AN67" i="12"/>
  <c r="BQ67" i="12"/>
  <c r="BT67" i="12"/>
  <c r="BU67" i="12"/>
  <c r="AJ67" i="12"/>
  <c r="BR67" i="12"/>
  <c r="AK67" i="12"/>
  <c r="AY71" i="12"/>
  <c r="G72" i="12" s="1"/>
  <c r="X72" i="12" s="1"/>
  <c r="AH73" i="7"/>
  <c r="H74" i="7" s="1"/>
  <c r="B68" i="21"/>
  <c r="S68" i="21" s="1"/>
  <c r="Z67" i="21"/>
  <c r="S61" i="10"/>
  <c r="I61" i="10"/>
  <c r="J61" i="10" s="1"/>
  <c r="K61" i="10" s="1"/>
  <c r="L61" i="10" s="1"/>
  <c r="AD73" i="7"/>
  <c r="D74" i="7" s="1"/>
  <c r="BO67" i="12"/>
  <c r="BA60" i="10"/>
  <c r="AD60" i="10"/>
  <c r="BK60" i="10"/>
  <c r="BL60" i="10"/>
  <c r="AA60" i="10"/>
  <c r="AB60" i="10" s="1"/>
  <c r="AC60" i="10" s="1"/>
  <c r="AW60" i="10"/>
  <c r="AJ60" i="10"/>
  <c r="AN60" i="10"/>
  <c r="AM60" i="10"/>
  <c r="AK60" i="10"/>
  <c r="AH67" i="12"/>
  <c r="AE73" i="7"/>
  <c r="E74" i="7" s="1"/>
  <c r="AO66" i="21"/>
  <c r="W72" i="4"/>
  <c r="AG73" i="7"/>
  <c r="G74" i="7" s="1"/>
  <c r="I68" i="19"/>
  <c r="S68" i="19" s="1"/>
  <c r="AT60" i="10"/>
  <c r="AW71" i="12"/>
  <c r="E72" i="12" s="1"/>
  <c r="V72" i="12" s="1"/>
  <c r="AV71" i="12"/>
  <c r="D72" i="12" s="1"/>
  <c r="U72" i="12" s="1"/>
  <c r="Y71" i="4"/>
  <c r="I68" i="12"/>
  <c r="J68" i="12" s="1"/>
  <c r="K68" i="12" s="1"/>
  <c r="L68" i="12" s="1"/>
  <c r="S68" i="12"/>
  <c r="AZ71" i="12"/>
  <c r="H72" i="12" s="1"/>
  <c r="Y72" i="12" s="1"/>
  <c r="AP74" i="4" l="1"/>
  <c r="AS74" i="4"/>
  <c r="AO74" i="4"/>
  <c r="AR74" i="4"/>
  <c r="I73" i="4"/>
  <c r="AM73" i="4"/>
  <c r="B74" i="4" s="1"/>
  <c r="AH64" i="24"/>
  <c r="AG74" i="7"/>
  <c r="G75" i="7" s="1"/>
  <c r="AE74" i="7"/>
  <c r="E75" i="7" s="1"/>
  <c r="AD74" i="7"/>
  <c r="D75" i="7" s="1"/>
  <c r="AH74" i="7"/>
  <c r="H75" i="7" s="1"/>
  <c r="Y66" i="7"/>
  <c r="AP66" i="9"/>
  <c r="AP66" i="21"/>
  <c r="AC68" i="19"/>
  <c r="X67" i="25"/>
  <c r="Y72" i="4"/>
  <c r="Y67" i="19"/>
  <c r="W67" i="25"/>
  <c r="AO60" i="10"/>
  <c r="AI68" i="19"/>
  <c r="I68" i="9"/>
  <c r="J68" i="9" s="1"/>
  <c r="K68" i="9" s="1"/>
  <c r="L68" i="9" s="1"/>
  <c r="S68" i="9"/>
  <c r="R68" i="19"/>
  <c r="AE68" i="19"/>
  <c r="AP59" i="22"/>
  <c r="AA67" i="9"/>
  <c r="AB67" i="9" s="1"/>
  <c r="AC67" i="9" s="1"/>
  <c r="AM67" i="9"/>
  <c r="AD67" i="9"/>
  <c r="AL67" i="9"/>
  <c r="AI67" i="9"/>
  <c r="AJ67" i="9"/>
  <c r="I68" i="25"/>
  <c r="AE68" i="25" s="1"/>
  <c r="AN67" i="29"/>
  <c r="AO67" i="29"/>
  <c r="I65" i="24"/>
  <c r="J65" i="24" s="1"/>
  <c r="K65" i="24" s="1"/>
  <c r="L65" i="24" s="1"/>
  <c r="S65" i="24"/>
  <c r="AI67" i="7"/>
  <c r="AJ67" i="7" s="1"/>
  <c r="B68" i="7"/>
  <c r="P68" i="19"/>
  <c r="B69" i="29"/>
  <c r="Z68" i="29"/>
  <c r="AG68" i="29" s="1"/>
  <c r="I53" i="26"/>
  <c r="J53" i="26" s="1"/>
  <c r="K53" i="26" s="1"/>
  <c r="L53" i="26" s="1"/>
  <c r="S53" i="26"/>
  <c r="D27" i="14"/>
  <c r="J67" i="7"/>
  <c r="K67" i="7" s="1"/>
  <c r="L67" i="7" s="1"/>
  <c r="R67" i="7"/>
  <c r="U67" i="7"/>
  <c r="V67" i="7"/>
  <c r="S67" i="7"/>
  <c r="AO59" i="22"/>
  <c r="P67" i="7"/>
  <c r="I53" i="23"/>
  <c r="J53" i="23" s="1"/>
  <c r="K53" i="23" s="1"/>
  <c r="L53" i="23" s="1"/>
  <c r="S53" i="23"/>
  <c r="BD60" i="22"/>
  <c r="B61" i="22" s="1"/>
  <c r="Z60" i="22"/>
  <c r="AH60" i="22" s="1"/>
  <c r="V68" i="19"/>
  <c r="U68" i="19"/>
  <c r="BV64" i="24"/>
  <c r="AA64" i="24"/>
  <c r="AB64" i="24" s="1"/>
  <c r="AC64" i="24" s="1"/>
  <c r="BA64" i="24"/>
  <c r="AD64" i="24"/>
  <c r="BB64" i="24"/>
  <c r="AM64" i="24"/>
  <c r="BT64" i="24"/>
  <c r="AN64" i="24"/>
  <c r="BU64" i="24"/>
  <c r="AK64" i="24"/>
  <c r="BQ64" i="24"/>
  <c r="BR64" i="24"/>
  <c r="AJ64" i="24"/>
  <c r="I53" i="20"/>
  <c r="J53" i="20" s="1"/>
  <c r="K53" i="20" s="1"/>
  <c r="L53" i="20" s="1"/>
  <c r="S53" i="20"/>
  <c r="AH68" i="19"/>
  <c r="AV72" i="12"/>
  <c r="D73" i="12" s="1"/>
  <c r="U73" i="12" s="1"/>
  <c r="AW71" i="24"/>
  <c r="E72" i="24" s="1"/>
  <c r="V72" i="24" s="1"/>
  <c r="Z61" i="10"/>
  <c r="AT61" i="10" s="1"/>
  <c r="AP60" i="10"/>
  <c r="AF68" i="19"/>
  <c r="AO67" i="12"/>
  <c r="AP67" i="12"/>
  <c r="AD67" i="21"/>
  <c r="AA67" i="21"/>
  <c r="AB67" i="21" s="1"/>
  <c r="AC67" i="21" s="1"/>
  <c r="AL67" i="21"/>
  <c r="AI67" i="21"/>
  <c r="AM67" i="21"/>
  <c r="AJ67" i="21"/>
  <c r="AY72" i="12"/>
  <c r="G73" i="12" s="1"/>
  <c r="X73" i="12" s="1"/>
  <c r="AZ72" i="12"/>
  <c r="H73" i="12" s="1"/>
  <c r="Y73" i="12" s="1"/>
  <c r="AW72" i="12"/>
  <c r="E73" i="12" s="1"/>
  <c r="V73" i="12" s="1"/>
  <c r="AG67" i="21"/>
  <c r="AT68" i="12"/>
  <c r="B69" i="12" s="1"/>
  <c r="Z68" i="12"/>
  <c r="AH68" i="12" s="1"/>
  <c r="AP68" i="19"/>
  <c r="E69" i="19" s="1"/>
  <c r="AM68" i="19"/>
  <c r="B69" i="19" s="1"/>
  <c r="AO68" i="19"/>
  <c r="D69" i="19" s="1"/>
  <c r="AJ68" i="19"/>
  <c r="AT68" i="19"/>
  <c r="AU68" i="19" s="1"/>
  <c r="J68" i="19"/>
  <c r="K68" i="19" s="1"/>
  <c r="L68" i="19" s="1"/>
  <c r="AR68" i="19"/>
  <c r="G69" i="19" s="1"/>
  <c r="AS68" i="19"/>
  <c r="H69" i="19" s="1"/>
  <c r="AV71" i="24"/>
  <c r="D72" i="24" s="1"/>
  <c r="U72" i="24" s="1"/>
  <c r="AY71" i="24"/>
  <c r="G72" i="24" s="1"/>
  <c r="X72" i="24" s="1"/>
  <c r="I68" i="21"/>
  <c r="J68" i="21" s="1"/>
  <c r="K68" i="21" s="1"/>
  <c r="L68" i="21" s="1"/>
  <c r="AZ71" i="24"/>
  <c r="H72" i="24" s="1"/>
  <c r="Y72" i="24" s="1"/>
  <c r="B33" i="14" l="1"/>
  <c r="J73" i="4"/>
  <c r="K73" i="4" s="1"/>
  <c r="L73" i="4" s="1"/>
  <c r="U73" i="4"/>
  <c r="AC73" i="4"/>
  <c r="AT73" i="4"/>
  <c r="AU73" i="4" s="1"/>
  <c r="R73" i="4"/>
  <c r="S73" i="4"/>
  <c r="AJ73" i="4"/>
  <c r="AI73" i="4"/>
  <c r="V73" i="4"/>
  <c r="AH73" i="4"/>
  <c r="P73" i="4"/>
  <c r="AE73" i="4"/>
  <c r="AM74" i="4"/>
  <c r="I74" i="4"/>
  <c r="AF73" i="4"/>
  <c r="E75" i="4"/>
  <c r="D75" i="4"/>
  <c r="G75" i="4"/>
  <c r="B75" i="4"/>
  <c r="H75" i="4"/>
  <c r="AE75" i="7"/>
  <c r="E76" i="7" s="1"/>
  <c r="AH75" i="7"/>
  <c r="H76" i="7" s="1"/>
  <c r="AD75" i="7"/>
  <c r="D76" i="7" s="1"/>
  <c r="AG75" i="7"/>
  <c r="G76" i="7" s="1"/>
  <c r="AQ60" i="10"/>
  <c r="Y67" i="25"/>
  <c r="AO67" i="9"/>
  <c r="AT60" i="22"/>
  <c r="P68" i="25"/>
  <c r="AQ67" i="12"/>
  <c r="AH61" i="10"/>
  <c r="AC68" i="25"/>
  <c r="R68" i="25"/>
  <c r="AJ68" i="25"/>
  <c r="AM68" i="25"/>
  <c r="B69" i="25" s="1"/>
  <c r="AR68" i="25"/>
  <c r="G69" i="25" s="1"/>
  <c r="AS68" i="25"/>
  <c r="H69" i="25" s="1"/>
  <c r="AP68" i="25"/>
  <c r="E69" i="25" s="1"/>
  <c r="AO68" i="25"/>
  <c r="D69" i="25" s="1"/>
  <c r="J68" i="25"/>
  <c r="K68" i="25" s="1"/>
  <c r="L68" i="25" s="1"/>
  <c r="AT68" i="25"/>
  <c r="AU68" i="25" s="1"/>
  <c r="AN67" i="9"/>
  <c r="V68" i="25"/>
  <c r="AQ59" i="22"/>
  <c r="AH68" i="25"/>
  <c r="AI68" i="25"/>
  <c r="B69" i="9"/>
  <c r="Z68" i="9"/>
  <c r="AG68" i="9" s="1"/>
  <c r="W67" i="7"/>
  <c r="U68" i="25"/>
  <c r="S68" i="25"/>
  <c r="X68" i="19"/>
  <c r="AF68" i="25"/>
  <c r="AT65" i="24"/>
  <c r="B66" i="24" s="1"/>
  <c r="Z65" i="24"/>
  <c r="AP64" i="24"/>
  <c r="AA68" i="29"/>
  <c r="AB68" i="29" s="1"/>
  <c r="AC68" i="29" s="1"/>
  <c r="AI68" i="29"/>
  <c r="AL68" i="29"/>
  <c r="AM68" i="29"/>
  <c r="AD68" i="29"/>
  <c r="AJ68" i="29"/>
  <c r="Z53" i="26"/>
  <c r="AH53" i="26" s="1"/>
  <c r="BA60" i="22"/>
  <c r="BK60" i="22"/>
  <c r="BL60" i="22"/>
  <c r="AD60" i="22"/>
  <c r="AA60" i="22"/>
  <c r="AB60" i="22" s="1"/>
  <c r="AC60" i="22" s="1"/>
  <c r="AW60" i="22"/>
  <c r="AJ60" i="22"/>
  <c r="AK60" i="22"/>
  <c r="AM60" i="22"/>
  <c r="AN60" i="22"/>
  <c r="S69" i="29"/>
  <c r="I69" i="29"/>
  <c r="J69" i="29" s="1"/>
  <c r="K69" i="29" s="1"/>
  <c r="L69" i="29" s="1"/>
  <c r="AP67" i="29"/>
  <c r="W68" i="19"/>
  <c r="S61" i="22"/>
  <c r="I61" i="22"/>
  <c r="J61" i="22" s="1"/>
  <c r="K61" i="22" s="1"/>
  <c r="L61" i="22" s="1"/>
  <c r="X67" i="7"/>
  <c r="Z53" i="20"/>
  <c r="AH53" i="20" s="1"/>
  <c r="Z53" i="23"/>
  <c r="AO64" i="24"/>
  <c r="I68" i="7"/>
  <c r="AB68" i="7"/>
  <c r="AO67" i="21"/>
  <c r="AN67" i="21"/>
  <c r="AZ73" i="12"/>
  <c r="H74" i="12" s="1"/>
  <c r="Y74" i="12" s="1"/>
  <c r="AW72" i="24"/>
  <c r="E73" i="24" s="1"/>
  <c r="V73" i="24" s="1"/>
  <c r="AZ72" i="24"/>
  <c r="H73" i="24" s="1"/>
  <c r="Y73" i="24" s="1"/>
  <c r="AY73" i="12"/>
  <c r="G74" i="12" s="1"/>
  <c r="X74" i="12" s="1"/>
  <c r="AV73" i="12"/>
  <c r="D74" i="12" s="1"/>
  <c r="U74" i="12" s="1"/>
  <c r="AY72" i="24"/>
  <c r="G73" i="24" s="1"/>
  <c r="X73" i="24" s="1"/>
  <c r="AA68" i="12"/>
  <c r="AB68" i="12" s="1"/>
  <c r="AC68" i="12" s="1"/>
  <c r="BA68" i="12"/>
  <c r="AD68" i="12"/>
  <c r="BB68" i="12"/>
  <c r="AK68" i="12"/>
  <c r="AN68" i="12"/>
  <c r="AM68" i="12"/>
  <c r="AJ68" i="12"/>
  <c r="AW73" i="12"/>
  <c r="E74" i="12" s="1"/>
  <c r="V74" i="12" s="1"/>
  <c r="B69" i="21"/>
  <c r="S69" i="21" s="1"/>
  <c r="Z68" i="21"/>
  <c r="AG68" i="21" s="1"/>
  <c r="AV72" i="24"/>
  <c r="D73" i="24" s="1"/>
  <c r="U73" i="24" s="1"/>
  <c r="I69" i="19"/>
  <c r="AE69" i="19" s="1"/>
  <c r="S69" i="12"/>
  <c r="I69" i="12"/>
  <c r="J69" i="12" s="1"/>
  <c r="K69" i="12" s="1"/>
  <c r="L69" i="12" s="1"/>
  <c r="AA61" i="10"/>
  <c r="AB61" i="10" s="1"/>
  <c r="AC61" i="10" s="1"/>
  <c r="BA61" i="10"/>
  <c r="BK61" i="10"/>
  <c r="AD61" i="10"/>
  <c r="AW61" i="10"/>
  <c r="AJ61" i="10"/>
  <c r="AK61" i="10"/>
  <c r="AN61" i="10"/>
  <c r="AM61" i="10"/>
  <c r="AT53" i="23" l="1"/>
  <c r="AU53" i="23"/>
  <c r="AE74" i="4"/>
  <c r="AT74" i="4"/>
  <c r="AU74" i="4" s="1"/>
  <c r="R74" i="4"/>
  <c r="AF74" i="4"/>
  <c r="U74" i="4"/>
  <c r="V74" i="4"/>
  <c r="AH74" i="4"/>
  <c r="AJ74" i="4"/>
  <c r="J74" i="4"/>
  <c r="K74" i="4" s="1"/>
  <c r="L74" i="4" s="1"/>
  <c r="S74" i="4"/>
  <c r="AI74" i="4"/>
  <c r="X73" i="4"/>
  <c r="W73" i="4"/>
  <c r="AC74" i="4"/>
  <c r="P74" i="4"/>
  <c r="AY74" i="12"/>
  <c r="G75" i="12" s="1"/>
  <c r="X75" i="12" s="1"/>
  <c r="AV74" i="12"/>
  <c r="D75" i="12" s="1"/>
  <c r="U75" i="12" s="1"/>
  <c r="AZ74" i="12"/>
  <c r="H75" i="12" s="1"/>
  <c r="Y75" i="12" s="1"/>
  <c r="AW74" i="12"/>
  <c r="E75" i="12" s="1"/>
  <c r="V75" i="12" s="1"/>
  <c r="AZ73" i="24"/>
  <c r="H74" i="24" s="1"/>
  <c r="Y74" i="24" s="1"/>
  <c r="AV73" i="24"/>
  <c r="D74" i="24" s="1"/>
  <c r="U74" i="24" s="1"/>
  <c r="AY73" i="24"/>
  <c r="G74" i="24" s="1"/>
  <c r="X74" i="24" s="1"/>
  <c r="AW73" i="24"/>
  <c r="E74" i="24" s="1"/>
  <c r="V74" i="24" s="1"/>
  <c r="AR75" i="4"/>
  <c r="G76" i="4" s="1"/>
  <c r="AO75" i="4"/>
  <c r="D76" i="4" s="1"/>
  <c r="AS75" i="4"/>
  <c r="H76" i="4" s="1"/>
  <c r="AP75" i="4"/>
  <c r="E76" i="4" s="1"/>
  <c r="I75" i="4"/>
  <c r="R75" i="4" s="1"/>
  <c r="R76" i="4" s="1"/>
  <c r="AM75" i="4"/>
  <c r="B76" i="4" s="1"/>
  <c r="G76" i="12"/>
  <c r="E76" i="12"/>
  <c r="H76" i="12"/>
  <c r="D76" i="12"/>
  <c r="Y68" i="19"/>
  <c r="AH53" i="23"/>
  <c r="AP67" i="9"/>
  <c r="Y67" i="7"/>
  <c r="AQ64" i="24"/>
  <c r="AP60" i="22"/>
  <c r="AT53" i="26"/>
  <c r="X68" i="25"/>
  <c r="I69" i="25"/>
  <c r="P69" i="25" s="1"/>
  <c r="AI68" i="9"/>
  <c r="AL68" i="9"/>
  <c r="AD68" i="9"/>
  <c r="AJ68" i="9"/>
  <c r="AA68" i="9"/>
  <c r="AB68" i="9" s="1"/>
  <c r="AC68" i="9" s="1"/>
  <c r="AM68" i="9"/>
  <c r="AO68" i="29"/>
  <c r="I69" i="9"/>
  <c r="J69" i="9" s="1"/>
  <c r="K69" i="9" s="1"/>
  <c r="L69" i="9" s="1"/>
  <c r="S69" i="9"/>
  <c r="W68" i="25"/>
  <c r="AN68" i="29"/>
  <c r="J68" i="7"/>
  <c r="K68" i="7" s="1"/>
  <c r="L68" i="7" s="1"/>
  <c r="D28" i="14"/>
  <c r="S68" i="7"/>
  <c r="R68" i="7"/>
  <c r="U68" i="7"/>
  <c r="V68" i="7"/>
  <c r="AA65" i="24"/>
  <c r="AB65" i="24" s="1"/>
  <c r="AC65" i="24" s="1"/>
  <c r="BV65" i="24"/>
  <c r="BA65" i="24"/>
  <c r="AD65" i="24"/>
  <c r="BB65" i="24"/>
  <c r="AJ65" i="24"/>
  <c r="BU65" i="24"/>
  <c r="AN65" i="24"/>
  <c r="BQ65" i="24"/>
  <c r="BR65" i="24"/>
  <c r="AM65" i="24"/>
  <c r="AK65" i="24"/>
  <c r="BT65" i="24"/>
  <c r="Z61" i="22"/>
  <c r="AT61" i="22" s="1"/>
  <c r="I66" i="24"/>
  <c r="J66" i="24" s="1"/>
  <c r="K66" i="24" s="1"/>
  <c r="L66" i="24" s="1"/>
  <c r="S66" i="24"/>
  <c r="AP68" i="12"/>
  <c r="BK53" i="23"/>
  <c r="AI53" i="23"/>
  <c r="AD53" i="23"/>
  <c r="BA53" i="23"/>
  <c r="AN53" i="23"/>
  <c r="AM53" i="23"/>
  <c r="AA53" i="23"/>
  <c r="AB53" i="23" s="1"/>
  <c r="AC53" i="23" s="1"/>
  <c r="BO65" i="24"/>
  <c r="AO60" i="22"/>
  <c r="AH65" i="24"/>
  <c r="AP61" i="10"/>
  <c r="P68" i="7"/>
  <c r="AT53" i="20"/>
  <c r="BK53" i="20"/>
  <c r="AD53" i="20"/>
  <c r="AA53" i="20"/>
  <c r="AB53" i="20" s="1"/>
  <c r="AC53" i="20" s="1"/>
  <c r="BA53" i="20"/>
  <c r="AI53" i="20"/>
  <c r="AU53" i="20"/>
  <c r="AN53" i="20"/>
  <c r="AZ53" i="20"/>
  <c r="AM53" i="20"/>
  <c r="AY53" i="20"/>
  <c r="B69" i="7"/>
  <c r="AI68" i="7"/>
  <c r="AJ68" i="7" s="1"/>
  <c r="Z69" i="29"/>
  <c r="AG69" i="29" s="1"/>
  <c r="B70" i="29"/>
  <c r="AD53" i="26"/>
  <c r="AY53" i="26"/>
  <c r="AI53" i="26"/>
  <c r="BA53" i="26"/>
  <c r="AM53" i="26"/>
  <c r="AA53" i="26"/>
  <c r="AB53" i="26" s="1"/>
  <c r="AC53" i="26" s="1"/>
  <c r="AU53" i="26"/>
  <c r="BK53" i="26"/>
  <c r="AN53" i="26"/>
  <c r="AZ53" i="26"/>
  <c r="AR69" i="19"/>
  <c r="G70" i="19" s="1"/>
  <c r="AO69" i="19"/>
  <c r="D70" i="19" s="1"/>
  <c r="AJ69" i="19"/>
  <c r="AP69" i="19"/>
  <c r="E70" i="19" s="1"/>
  <c r="J69" i="19"/>
  <c r="K69" i="19" s="1"/>
  <c r="L69" i="19" s="1"/>
  <c r="AS69" i="19"/>
  <c r="H70" i="19" s="1"/>
  <c r="AM69" i="19"/>
  <c r="B70" i="19" s="1"/>
  <c r="AT69" i="19"/>
  <c r="AU69" i="19" s="1"/>
  <c r="Z69" i="12"/>
  <c r="AH69" i="12" s="1"/>
  <c r="AT69" i="12"/>
  <c r="B70" i="12" s="1"/>
  <c r="AD68" i="21"/>
  <c r="AA68" i="21"/>
  <c r="AB68" i="21" s="1"/>
  <c r="AC68" i="21" s="1"/>
  <c r="AJ68" i="21"/>
  <c r="AL68" i="21"/>
  <c r="AI68" i="21"/>
  <c r="AM68" i="21"/>
  <c r="AH69" i="19"/>
  <c r="V69" i="19"/>
  <c r="AO61" i="10"/>
  <c r="AO68" i="12"/>
  <c r="S69" i="19"/>
  <c r="BF61" i="10"/>
  <c r="D62" i="10" s="1"/>
  <c r="U62" i="10" s="1"/>
  <c r="BJ61" i="10"/>
  <c r="H62" i="10" s="1"/>
  <c r="Y62" i="10" s="1"/>
  <c r="BG61" i="10"/>
  <c r="E62" i="10" s="1"/>
  <c r="V62" i="10" s="1"/>
  <c r="BD61" i="10"/>
  <c r="BI61" i="10"/>
  <c r="G62" i="10" s="1"/>
  <c r="X62" i="10" s="1"/>
  <c r="P69" i="19"/>
  <c r="I69" i="21"/>
  <c r="J69" i="21" s="1"/>
  <c r="K69" i="21" s="1"/>
  <c r="L69" i="21" s="1"/>
  <c r="U69" i="19"/>
  <c r="AI69" i="19"/>
  <c r="AF69" i="19"/>
  <c r="AC69" i="19"/>
  <c r="R69" i="19"/>
  <c r="AP67" i="21"/>
  <c r="W74" i="4" l="1"/>
  <c r="X74" i="4"/>
  <c r="W76" i="4"/>
  <c r="Y73" i="4"/>
  <c r="Y76" i="4" s="1"/>
  <c r="AH75" i="4"/>
  <c r="AI75" i="4"/>
  <c r="AE75" i="4"/>
  <c r="AV75" i="12"/>
  <c r="AW75" i="12"/>
  <c r="AZ75" i="12"/>
  <c r="AY75" i="12"/>
  <c r="AW74" i="24"/>
  <c r="E75" i="24" s="1"/>
  <c r="AY74" i="24"/>
  <c r="G75" i="24" s="1"/>
  <c r="AZ74" i="24"/>
  <c r="H75" i="24" s="1"/>
  <c r="AV74" i="24"/>
  <c r="D75" i="24" s="1"/>
  <c r="U75" i="4"/>
  <c r="U76" i="4" s="1"/>
  <c r="AC75" i="4"/>
  <c r="AF75" i="4"/>
  <c r="P75" i="4"/>
  <c r="P76" i="4" s="1"/>
  <c r="S75" i="4"/>
  <c r="S76" i="4" s="1"/>
  <c r="J75" i="4"/>
  <c r="K75" i="4" s="1"/>
  <c r="L75" i="4" s="1"/>
  <c r="I78" i="4" s="1"/>
  <c r="B14" i="8" s="1"/>
  <c r="AJ75" i="4"/>
  <c r="AT75" i="4"/>
  <c r="AU75" i="4" s="1"/>
  <c r="I84" i="4"/>
  <c r="V75" i="4"/>
  <c r="V76" i="4" s="1"/>
  <c r="I86" i="4" s="1"/>
  <c r="AP68" i="29"/>
  <c r="I76" i="4"/>
  <c r="I77" i="4" s="1"/>
  <c r="U76" i="12"/>
  <c r="Y76" i="12"/>
  <c r="X75" i="24"/>
  <c r="Y75" i="24"/>
  <c r="U75" i="24"/>
  <c r="X76" i="12"/>
  <c r="AQ60" i="22"/>
  <c r="S69" i="25"/>
  <c r="Y68" i="25"/>
  <c r="AI69" i="25"/>
  <c r="AQ61" i="10"/>
  <c r="V69" i="25"/>
  <c r="AO68" i="9"/>
  <c r="U69" i="25"/>
  <c r="AC69" i="25"/>
  <c r="AO68" i="21"/>
  <c r="AF69" i="25"/>
  <c r="AH69" i="25"/>
  <c r="AP65" i="24"/>
  <c r="B70" i="9"/>
  <c r="Z69" i="9"/>
  <c r="AH61" i="22"/>
  <c r="AE69" i="25"/>
  <c r="AO69" i="25"/>
  <c r="D70" i="25" s="1"/>
  <c r="AJ69" i="25"/>
  <c r="AS69" i="25"/>
  <c r="H70" i="25" s="1"/>
  <c r="AT69" i="25"/>
  <c r="AU69" i="25" s="1"/>
  <c r="J69" i="25"/>
  <c r="K69" i="25" s="1"/>
  <c r="L69" i="25" s="1"/>
  <c r="AR69" i="25"/>
  <c r="G70" i="25" s="1"/>
  <c r="AM69" i="25"/>
  <c r="B70" i="25" s="1"/>
  <c r="AP69" i="25"/>
  <c r="E70" i="25" s="1"/>
  <c r="AN68" i="9"/>
  <c r="AQ68" i="12"/>
  <c r="AO53" i="23"/>
  <c r="R69" i="25"/>
  <c r="BI53" i="26"/>
  <c r="BE53" i="26"/>
  <c r="BD53" i="26"/>
  <c r="BJ53" i="26"/>
  <c r="H54" i="26" s="1"/>
  <c r="Y54" i="26" s="1"/>
  <c r="S70" i="29"/>
  <c r="I70" i="29"/>
  <c r="W68" i="7"/>
  <c r="X68" i="7"/>
  <c r="AD61" i="22"/>
  <c r="AM61" i="22"/>
  <c r="BK61" i="22"/>
  <c r="AA61" i="22"/>
  <c r="AB61" i="22" s="1"/>
  <c r="AC61" i="22" s="1"/>
  <c r="BA61" i="22"/>
  <c r="AW61" i="22"/>
  <c r="AK61" i="22"/>
  <c r="AJ61" i="22"/>
  <c r="AN61" i="22"/>
  <c r="AO53" i="20"/>
  <c r="AP53" i="23"/>
  <c r="AO65" i="24"/>
  <c r="AD69" i="29"/>
  <c r="AA69" i="29"/>
  <c r="AB69" i="29" s="1"/>
  <c r="AC69" i="29" s="1"/>
  <c r="AJ69" i="29"/>
  <c r="AI69" i="29"/>
  <c r="AL69" i="29"/>
  <c r="AM69" i="29"/>
  <c r="BD53" i="23"/>
  <c r="BJ53" i="23"/>
  <c r="H54" i="23" s="1"/>
  <c r="Y54" i="23" s="1"/>
  <c r="BI53" i="23"/>
  <c r="G54" i="23" s="1"/>
  <c r="X54" i="23" s="1"/>
  <c r="BE53" i="23"/>
  <c r="BI53" i="20"/>
  <c r="G54" i="20" s="1"/>
  <c r="X54" i="20" s="1"/>
  <c r="BD53" i="20"/>
  <c r="BJ53" i="20"/>
  <c r="H54" i="20" s="1"/>
  <c r="Y54" i="20" s="1"/>
  <c r="BE53" i="20"/>
  <c r="I69" i="7"/>
  <c r="P69" i="7" s="1"/>
  <c r="AB69" i="7"/>
  <c r="AT66" i="24"/>
  <c r="B67" i="24" s="1"/>
  <c r="Z66" i="24"/>
  <c r="AH66" i="24" s="1"/>
  <c r="AN68" i="21"/>
  <c r="AO53" i="26"/>
  <c r="AP53" i="20"/>
  <c r="AP53" i="26"/>
  <c r="I70" i="19"/>
  <c r="AE70" i="19" s="1"/>
  <c r="Z69" i="21"/>
  <c r="B70" i="21"/>
  <c r="S70" i="21" s="1"/>
  <c r="BG62" i="10"/>
  <c r="E63" i="10" s="1"/>
  <c r="V63" i="10" s="1"/>
  <c r="BB69" i="12"/>
  <c r="AD69" i="12"/>
  <c r="AA69" i="12"/>
  <c r="AB69" i="12" s="1"/>
  <c r="AC69" i="12" s="1"/>
  <c r="BV69" i="12"/>
  <c r="BA69" i="12"/>
  <c r="AM69" i="12"/>
  <c r="AN69" i="12"/>
  <c r="BT69" i="12"/>
  <c r="BR69" i="12"/>
  <c r="BQ69" i="12"/>
  <c r="BU69" i="12"/>
  <c r="AK69" i="12"/>
  <c r="AJ69" i="12"/>
  <c r="B62" i="10"/>
  <c r="BL61" i="10"/>
  <c r="X69" i="19"/>
  <c r="W69" i="19"/>
  <c r="BJ62" i="10"/>
  <c r="H63" i="10" s="1"/>
  <c r="Y63" i="10" s="1"/>
  <c r="S70" i="12"/>
  <c r="I70" i="12"/>
  <c r="J70" i="12" s="1"/>
  <c r="K70" i="12" s="1"/>
  <c r="L70" i="12" s="1"/>
  <c r="BI62" i="10"/>
  <c r="G63" i="10" s="1"/>
  <c r="X63" i="10" s="1"/>
  <c r="BF62" i="10"/>
  <c r="D63" i="10" s="1"/>
  <c r="U63" i="10" s="1"/>
  <c r="BO69" i="12"/>
  <c r="D54" i="20" l="1"/>
  <c r="E54" i="20"/>
  <c r="E54" i="23"/>
  <c r="V54" i="23" s="1"/>
  <c r="D54" i="23"/>
  <c r="U54" i="23" s="1"/>
  <c r="Y74" i="4"/>
  <c r="B19" i="8"/>
  <c r="X75" i="4"/>
  <c r="X76" i="4" s="1"/>
  <c r="X78" i="4" s="1"/>
  <c r="B18" i="8"/>
  <c r="B20" i="8" s="1"/>
  <c r="V78" i="4"/>
  <c r="Q14" i="8"/>
  <c r="H14" i="8"/>
  <c r="I83" i="4"/>
  <c r="I85" i="4"/>
  <c r="W75" i="4"/>
  <c r="Y75" i="4" s="1"/>
  <c r="AH70" i="19"/>
  <c r="AF70" i="19"/>
  <c r="I82" i="4"/>
  <c r="B12" i="8"/>
  <c r="B2" i="18" s="1"/>
  <c r="V75" i="24"/>
  <c r="Q19" i="8"/>
  <c r="V76" i="12"/>
  <c r="B13" i="8"/>
  <c r="I79" i="4"/>
  <c r="B15" i="8" s="1"/>
  <c r="AQ53" i="20"/>
  <c r="AQ65" i="24"/>
  <c r="AP68" i="21"/>
  <c r="W69" i="25"/>
  <c r="AQ53" i="23"/>
  <c r="AP61" i="22"/>
  <c r="X69" i="25"/>
  <c r="AP68" i="9"/>
  <c r="AN69" i="29"/>
  <c r="I70" i="25"/>
  <c r="R70" i="25" s="1"/>
  <c r="S70" i="19"/>
  <c r="AI70" i="19"/>
  <c r="R70" i="19"/>
  <c r="V70" i="19"/>
  <c r="AG69" i="9"/>
  <c r="AM69" i="9"/>
  <c r="AJ69" i="9"/>
  <c r="AA69" i="9"/>
  <c r="AB69" i="9" s="1"/>
  <c r="AC69" i="9" s="1"/>
  <c r="AD69" i="9"/>
  <c r="AL69" i="9"/>
  <c r="AI69" i="9"/>
  <c r="Y68" i="7"/>
  <c r="S70" i="9"/>
  <c r="I70" i="9"/>
  <c r="J70" i="9" s="1"/>
  <c r="K70" i="9" s="1"/>
  <c r="L70" i="9" s="1"/>
  <c r="U70" i="19"/>
  <c r="P70" i="19"/>
  <c r="B54" i="20"/>
  <c r="BL53" i="20"/>
  <c r="S67" i="24"/>
  <c r="I67" i="24"/>
  <c r="J67" i="24" s="1"/>
  <c r="K67" i="24" s="1"/>
  <c r="L67" i="24" s="1"/>
  <c r="AO69" i="29"/>
  <c r="B71" i="29"/>
  <c r="Z70" i="29"/>
  <c r="BO66" i="24"/>
  <c r="AC70" i="19"/>
  <c r="BF61" i="22"/>
  <c r="D62" i="22" s="1"/>
  <c r="U62" i="22" s="1"/>
  <c r="BJ61" i="22"/>
  <c r="H62" i="22" s="1"/>
  <c r="Y62" i="22" s="1"/>
  <c r="BI61" i="22"/>
  <c r="G62" i="22" s="1"/>
  <c r="X62" i="22" s="1"/>
  <c r="BD61" i="22"/>
  <c r="BG61" i="22"/>
  <c r="E62" i="22" s="1"/>
  <c r="V62" i="22" s="1"/>
  <c r="B54" i="26"/>
  <c r="BL53" i="26"/>
  <c r="AP69" i="12"/>
  <c r="AM66" i="24"/>
  <c r="BB66" i="24"/>
  <c r="BT66" i="24"/>
  <c r="BR66" i="24"/>
  <c r="AN66" i="24"/>
  <c r="BV66" i="24"/>
  <c r="AK66" i="24"/>
  <c r="BA66" i="24"/>
  <c r="AA66" i="24"/>
  <c r="AB66" i="24" s="1"/>
  <c r="AC66" i="24" s="1"/>
  <c r="BU66" i="24"/>
  <c r="AD66" i="24"/>
  <c r="AJ66" i="24"/>
  <c r="BQ66" i="24"/>
  <c r="AI69" i="7"/>
  <c r="AJ69" i="7" s="1"/>
  <c r="B70" i="7"/>
  <c r="B54" i="23"/>
  <c r="BL53" i="23"/>
  <c r="J70" i="29"/>
  <c r="K70" i="29" s="1"/>
  <c r="L70" i="29" s="1"/>
  <c r="AQ53" i="26"/>
  <c r="R69" i="7"/>
  <c r="V69" i="7"/>
  <c r="S69" i="7"/>
  <c r="U69" i="7"/>
  <c r="D29" i="14"/>
  <c r="J69" i="7"/>
  <c r="K69" i="7" s="1"/>
  <c r="L69" i="7" s="1"/>
  <c r="U54" i="20"/>
  <c r="V54" i="20"/>
  <c r="AO61" i="22"/>
  <c r="AD69" i="21"/>
  <c r="AA69" i="21"/>
  <c r="AB69" i="21" s="1"/>
  <c r="AC69" i="21" s="1"/>
  <c r="AL69" i="21"/>
  <c r="AJ69" i="21"/>
  <c r="AM69" i="21"/>
  <c r="AI69" i="21"/>
  <c r="AO69" i="12"/>
  <c r="AT70" i="12"/>
  <c r="B71" i="12" s="1"/>
  <c r="Z70" i="12"/>
  <c r="Y69" i="19"/>
  <c r="S62" i="10"/>
  <c r="I62" i="10"/>
  <c r="J62" i="10" s="1"/>
  <c r="K62" i="10" s="1"/>
  <c r="L62" i="10" s="1"/>
  <c r="AG69" i="21"/>
  <c r="I70" i="21"/>
  <c r="J70" i="21" s="1"/>
  <c r="K70" i="21" s="1"/>
  <c r="L70" i="21" s="1"/>
  <c r="AM70" i="19"/>
  <c r="B71" i="19" s="1"/>
  <c r="AR70" i="19"/>
  <c r="G71" i="19" s="1"/>
  <c r="AJ70" i="19"/>
  <c r="AO70" i="19"/>
  <c r="D71" i="19" s="1"/>
  <c r="J70" i="19"/>
  <c r="K70" i="19" s="1"/>
  <c r="L70" i="19" s="1"/>
  <c r="AS70" i="19"/>
  <c r="H71" i="19" s="1"/>
  <c r="AT70" i="19"/>
  <c r="AU70" i="19" s="1"/>
  <c r="AP70" i="19"/>
  <c r="E71" i="19" s="1"/>
  <c r="Q18" i="8" l="1"/>
  <c r="Q12" i="8"/>
  <c r="H12" i="8"/>
  <c r="Q15" i="8"/>
  <c r="H15" i="8"/>
  <c r="Q13" i="8"/>
  <c r="H13" i="8"/>
  <c r="Y69" i="25"/>
  <c r="AQ61" i="22"/>
  <c r="AQ69" i="12"/>
  <c r="AP69" i="29"/>
  <c r="W70" i="19"/>
  <c r="V70" i="25"/>
  <c r="X70" i="19"/>
  <c r="AE70" i="25"/>
  <c r="AI70" i="25"/>
  <c r="AO70" i="25"/>
  <c r="D71" i="25" s="1"/>
  <c r="AJ70" i="25"/>
  <c r="AM70" i="25"/>
  <c r="B71" i="25" s="1"/>
  <c r="J70" i="25"/>
  <c r="K70" i="25" s="1"/>
  <c r="L70" i="25" s="1"/>
  <c r="AP70" i="25"/>
  <c r="E71" i="25" s="1"/>
  <c r="AS70" i="25"/>
  <c r="H71" i="25" s="1"/>
  <c r="AT70" i="25"/>
  <c r="AU70" i="25" s="1"/>
  <c r="AR70" i="25"/>
  <c r="G71" i="25" s="1"/>
  <c r="AO69" i="9"/>
  <c r="AN69" i="9"/>
  <c r="P70" i="25"/>
  <c r="AC70" i="25"/>
  <c r="AF70" i="25"/>
  <c r="AH70" i="25"/>
  <c r="S70" i="25"/>
  <c r="W69" i="7"/>
  <c r="B71" i="9"/>
  <c r="Z70" i="9"/>
  <c r="AG70" i="9" s="1"/>
  <c r="U70" i="25"/>
  <c r="BI62" i="22"/>
  <c r="G63" i="22" s="1"/>
  <c r="X63" i="22" s="1"/>
  <c r="BJ62" i="22"/>
  <c r="H63" i="22" s="1"/>
  <c r="Y63" i="22" s="1"/>
  <c r="I54" i="23"/>
  <c r="J54" i="23" s="1"/>
  <c r="K54" i="23" s="1"/>
  <c r="L54" i="23" s="1"/>
  <c r="S54" i="23"/>
  <c r="BF62" i="22"/>
  <c r="D63" i="22" s="1"/>
  <c r="U63" i="22" s="1"/>
  <c r="I70" i="7"/>
  <c r="P70" i="7" s="1"/>
  <c r="AB70" i="7"/>
  <c r="AJ70" i="29"/>
  <c r="AI70" i="29"/>
  <c r="AD70" i="29"/>
  <c r="AM70" i="29"/>
  <c r="AA70" i="29"/>
  <c r="AB70" i="29" s="1"/>
  <c r="AC70" i="29" s="1"/>
  <c r="AL70" i="29"/>
  <c r="I71" i="29"/>
  <c r="S71" i="29"/>
  <c r="AT67" i="24"/>
  <c r="B68" i="24" s="1"/>
  <c r="Z67" i="24"/>
  <c r="X69" i="7"/>
  <c r="I54" i="26"/>
  <c r="J54" i="26" s="1"/>
  <c r="K54" i="26" s="1"/>
  <c r="L54" i="26" s="1"/>
  <c r="S54" i="26"/>
  <c r="AG70" i="29"/>
  <c r="AP66" i="24"/>
  <c r="BG62" i="22"/>
  <c r="E63" i="22" s="1"/>
  <c r="V63" i="22" s="1"/>
  <c r="S54" i="20"/>
  <c r="I54" i="20"/>
  <c r="J54" i="20" s="1"/>
  <c r="K54" i="20" s="1"/>
  <c r="L54" i="20" s="1"/>
  <c r="B62" i="22"/>
  <c r="BL61" i="22"/>
  <c r="AO66" i="24"/>
  <c r="AN69" i="21"/>
  <c r="AO69" i="21"/>
  <c r="AD70" i="12"/>
  <c r="AA70" i="12"/>
  <c r="AB70" i="12" s="1"/>
  <c r="AC70" i="12" s="1"/>
  <c r="BA70" i="12"/>
  <c r="BB70" i="12"/>
  <c r="AM70" i="12"/>
  <c r="AN70" i="12"/>
  <c r="AJ70" i="12"/>
  <c r="AK70" i="12"/>
  <c r="B71" i="21"/>
  <c r="S71" i="21" s="1"/>
  <c r="Z70" i="21"/>
  <c r="AG70" i="21" s="1"/>
  <c r="AH70" i="12"/>
  <c r="I71" i="19"/>
  <c r="S71" i="19" s="1"/>
  <c r="Z62" i="10"/>
  <c r="AT62" i="10" s="1"/>
  <c r="BD62" i="10"/>
  <c r="B63" i="10" s="1"/>
  <c r="I71" i="12"/>
  <c r="J71" i="12" s="1"/>
  <c r="K71" i="12" s="1"/>
  <c r="L71" i="12" s="1"/>
  <c r="S71" i="12"/>
  <c r="Y70" i="19" l="1"/>
  <c r="P71" i="19"/>
  <c r="R71" i="19"/>
  <c r="AH62" i="10"/>
  <c r="Y69" i="7"/>
  <c r="AH71" i="19"/>
  <c r="AI71" i="19"/>
  <c r="AJ70" i="9"/>
  <c r="AA70" i="9"/>
  <c r="AB70" i="9" s="1"/>
  <c r="AC70" i="9" s="1"/>
  <c r="AL70" i="9"/>
  <c r="AD70" i="9"/>
  <c r="AI70" i="9"/>
  <c r="AM70" i="9"/>
  <c r="X70" i="25"/>
  <c r="W70" i="25"/>
  <c r="I71" i="25"/>
  <c r="AI71" i="25" s="1"/>
  <c r="V71" i="19"/>
  <c r="S71" i="9"/>
  <c r="I71" i="9"/>
  <c r="J71" i="9" s="1"/>
  <c r="K71" i="9" s="1"/>
  <c r="L71" i="9" s="1"/>
  <c r="AQ66" i="24"/>
  <c r="AP69" i="9"/>
  <c r="AE71" i="19"/>
  <c r="AO70" i="29"/>
  <c r="Z71" i="29"/>
  <c r="B72" i="29"/>
  <c r="B71" i="7"/>
  <c r="AI70" i="7"/>
  <c r="AJ70" i="7" s="1"/>
  <c r="Z54" i="20"/>
  <c r="AT54" i="20" s="1"/>
  <c r="J71" i="29"/>
  <c r="K71" i="29" s="1"/>
  <c r="L71" i="29" s="1"/>
  <c r="Z54" i="26"/>
  <c r="AT54" i="26" s="1"/>
  <c r="D30" i="14"/>
  <c r="J70" i="7"/>
  <c r="K70" i="7" s="1"/>
  <c r="L70" i="7" s="1"/>
  <c r="S70" i="7"/>
  <c r="V70" i="7"/>
  <c r="R70" i="7"/>
  <c r="U70" i="7"/>
  <c r="AP69" i="21"/>
  <c r="Z54" i="23"/>
  <c r="AH54" i="23" s="1"/>
  <c r="I62" i="22"/>
  <c r="J62" i="22" s="1"/>
  <c r="K62" i="22" s="1"/>
  <c r="L62" i="22" s="1"/>
  <c r="S62" i="22"/>
  <c r="AM67" i="24"/>
  <c r="AJ67" i="24"/>
  <c r="AK67" i="24"/>
  <c r="AN67" i="24"/>
  <c r="AD67" i="24"/>
  <c r="BA67" i="24"/>
  <c r="BB67" i="24"/>
  <c r="AA67" i="24"/>
  <c r="AB67" i="24" s="1"/>
  <c r="AC67" i="24" s="1"/>
  <c r="I68" i="24"/>
  <c r="J68" i="24" s="1"/>
  <c r="K68" i="24" s="1"/>
  <c r="L68" i="24" s="1"/>
  <c r="S68" i="24"/>
  <c r="AN70" i="29"/>
  <c r="U71" i="19"/>
  <c r="AC71" i="19"/>
  <c r="AH67" i="24"/>
  <c r="AP70" i="12"/>
  <c r="AO70" i="12"/>
  <c r="S63" i="10"/>
  <c r="I63" i="10"/>
  <c r="J63" i="10" s="1"/>
  <c r="Z71" i="12"/>
  <c r="AT71" i="12"/>
  <c r="B72" i="12" s="1"/>
  <c r="AS71" i="19"/>
  <c r="H72" i="19" s="1"/>
  <c r="AJ71" i="19"/>
  <c r="AT71" i="19"/>
  <c r="AU71" i="19" s="1"/>
  <c r="AR71" i="19"/>
  <c r="G72" i="19" s="1"/>
  <c r="AM71" i="19"/>
  <c r="B72" i="19" s="1"/>
  <c r="AP71" i="19"/>
  <c r="E72" i="19" s="1"/>
  <c r="J71" i="19"/>
  <c r="K71" i="19" s="1"/>
  <c r="L71" i="19" s="1"/>
  <c r="AO71" i="19"/>
  <c r="D72" i="19" s="1"/>
  <c r="AD70" i="21"/>
  <c r="AA70" i="21"/>
  <c r="AB70" i="21" s="1"/>
  <c r="AC70" i="21" s="1"/>
  <c r="AL70" i="21"/>
  <c r="AJ70" i="21"/>
  <c r="AI70" i="21"/>
  <c r="AM70" i="21"/>
  <c r="AF71" i="19"/>
  <c r="BL62" i="10"/>
  <c r="AD62" i="10"/>
  <c r="AA62" i="10"/>
  <c r="AB62" i="10" s="1"/>
  <c r="AC62" i="10" s="1"/>
  <c r="BA62" i="10"/>
  <c r="BK62" i="10"/>
  <c r="AJ62" i="10"/>
  <c r="AM62" i="10"/>
  <c r="AN62" i="10"/>
  <c r="AK62" i="10"/>
  <c r="AW62" i="10"/>
  <c r="I71" i="21"/>
  <c r="J71" i="21" s="1"/>
  <c r="K71" i="21" s="1"/>
  <c r="L71" i="21" s="1"/>
  <c r="AC71" i="25" l="1"/>
  <c r="X71" i="19"/>
  <c r="AE71" i="25"/>
  <c r="U71" i="25"/>
  <c r="AT54" i="23"/>
  <c r="AH71" i="25"/>
  <c r="R71" i="25"/>
  <c r="AQ70" i="12"/>
  <c r="AO70" i="9"/>
  <c r="W71" i="19"/>
  <c r="Y71" i="19" s="1"/>
  <c r="AP70" i="29"/>
  <c r="Y70" i="25"/>
  <c r="AN70" i="9"/>
  <c r="S71" i="25"/>
  <c r="AF71" i="25"/>
  <c r="P71" i="25"/>
  <c r="B72" i="9"/>
  <c r="Z71" i="9"/>
  <c r="AG71" i="9" s="1"/>
  <c r="AO70" i="21"/>
  <c r="AH54" i="20"/>
  <c r="AO62" i="10"/>
  <c r="AT71" i="25"/>
  <c r="AU71" i="25" s="1"/>
  <c r="AJ71" i="25"/>
  <c r="AS71" i="25"/>
  <c r="H72" i="25" s="1"/>
  <c r="AM71" i="25"/>
  <c r="B72" i="25" s="1"/>
  <c r="J71" i="25"/>
  <c r="K71" i="25" s="1"/>
  <c r="L71" i="25" s="1"/>
  <c r="AO71" i="25"/>
  <c r="D72" i="25" s="1"/>
  <c r="AR71" i="25"/>
  <c r="G72" i="25" s="1"/>
  <c r="AP71" i="25"/>
  <c r="E72" i="25" s="1"/>
  <c r="V71" i="25"/>
  <c r="AT68" i="24"/>
  <c r="B69" i="24" s="1"/>
  <c r="Z68" i="24"/>
  <c r="BO68" i="24" s="1"/>
  <c r="AH54" i="26"/>
  <c r="Z62" i="22"/>
  <c r="AH62" i="22" s="1"/>
  <c r="BD62" i="22"/>
  <c r="B63" i="22" s="1"/>
  <c r="BK54" i="20"/>
  <c r="AA54" i="20"/>
  <c r="AB54" i="20" s="1"/>
  <c r="AC54" i="20" s="1"/>
  <c r="BA54" i="20"/>
  <c r="AD54" i="20"/>
  <c r="AM54" i="20"/>
  <c r="AZ54" i="20"/>
  <c r="AN54" i="20"/>
  <c r="AY54" i="20"/>
  <c r="AW54" i="20"/>
  <c r="AK54" i="20"/>
  <c r="AV54" i="20"/>
  <c r="AJ54" i="20"/>
  <c r="X70" i="7"/>
  <c r="AP62" i="10"/>
  <c r="AB71" i="7"/>
  <c r="I71" i="7"/>
  <c r="AJ54" i="26"/>
  <c r="AM54" i="26"/>
  <c r="AA54" i="26"/>
  <c r="AB54" i="26" s="1"/>
  <c r="AC54" i="26" s="1"/>
  <c r="AW54" i="26"/>
  <c r="AD54" i="26"/>
  <c r="BA54" i="26"/>
  <c r="AY54" i="26"/>
  <c r="AK54" i="26"/>
  <c r="AV54" i="26"/>
  <c r="BK54" i="26"/>
  <c r="AN54" i="26"/>
  <c r="AZ54" i="26"/>
  <c r="AO67" i="24"/>
  <c r="W70" i="7"/>
  <c r="S72" i="29"/>
  <c r="I72" i="29"/>
  <c r="AP67" i="24"/>
  <c r="AA54" i="23"/>
  <c r="AB54" i="23" s="1"/>
  <c r="AC54" i="23" s="1"/>
  <c r="AD54" i="23"/>
  <c r="BA54" i="23"/>
  <c r="AM54" i="23"/>
  <c r="BK54" i="23"/>
  <c r="AN54" i="23"/>
  <c r="AJ54" i="23"/>
  <c r="AK54" i="23"/>
  <c r="AL71" i="29"/>
  <c r="AJ71" i="29"/>
  <c r="AD71" i="29"/>
  <c r="AI71" i="29"/>
  <c r="AA71" i="29"/>
  <c r="AB71" i="29" s="1"/>
  <c r="AC71" i="29" s="1"/>
  <c r="AM71" i="29"/>
  <c r="AG71" i="29"/>
  <c r="I72" i="19"/>
  <c r="AH72" i="19" s="1"/>
  <c r="I72" i="12"/>
  <c r="J72" i="12" s="1"/>
  <c r="K72" i="12" s="1"/>
  <c r="L72" i="12" s="1"/>
  <c r="S72" i="12"/>
  <c r="I80" i="10"/>
  <c r="K63" i="10"/>
  <c r="B72" i="21"/>
  <c r="S72" i="21" s="1"/>
  <c r="Z71" i="21"/>
  <c r="AA71" i="12"/>
  <c r="AB71" i="12" s="1"/>
  <c r="AC71" i="12" s="1"/>
  <c r="BB71" i="12"/>
  <c r="BA71" i="12"/>
  <c r="AD71" i="12"/>
  <c r="AK71" i="12"/>
  <c r="AJ71" i="12"/>
  <c r="AN71" i="12"/>
  <c r="AM71" i="12"/>
  <c r="Z63" i="10"/>
  <c r="AH63" i="10" s="1"/>
  <c r="AN70" i="21"/>
  <c r="AH71" i="12"/>
  <c r="AP70" i="9" l="1"/>
  <c r="AP70" i="21"/>
  <c r="W71" i="25"/>
  <c r="AQ62" i="10"/>
  <c r="AP54" i="20"/>
  <c r="X71" i="25"/>
  <c r="AO71" i="29"/>
  <c r="AQ67" i="24"/>
  <c r="AO54" i="23"/>
  <c r="AO54" i="20"/>
  <c r="I72" i="25"/>
  <c r="AC72" i="25" s="1"/>
  <c r="AI71" i="9"/>
  <c r="AM71" i="9"/>
  <c r="AL71" i="9"/>
  <c r="AA71" i="9"/>
  <c r="AB71" i="9" s="1"/>
  <c r="AC71" i="9" s="1"/>
  <c r="AJ71" i="9"/>
  <c r="AD71" i="9"/>
  <c r="Y70" i="7"/>
  <c r="S72" i="9"/>
  <c r="I72" i="9"/>
  <c r="D31" i="14"/>
  <c r="U71" i="7"/>
  <c r="S71" i="7"/>
  <c r="R71" i="7"/>
  <c r="V71" i="7"/>
  <c r="J71" i="7"/>
  <c r="K71" i="7" s="1"/>
  <c r="L71" i="7" s="1"/>
  <c r="AE72" i="19"/>
  <c r="P72" i="19"/>
  <c r="AI71" i="7"/>
  <c r="AJ71" i="7" s="1"/>
  <c r="B72" i="7"/>
  <c r="BK62" i="22"/>
  <c r="BL62" i="22"/>
  <c r="AA62" i="22"/>
  <c r="AB62" i="22" s="1"/>
  <c r="AC62" i="22" s="1"/>
  <c r="AD62" i="22"/>
  <c r="BA62" i="22"/>
  <c r="AN62" i="22"/>
  <c r="AM62" i="22"/>
  <c r="AK62" i="22"/>
  <c r="AW62" i="22"/>
  <c r="AJ62" i="22"/>
  <c r="AP54" i="23"/>
  <c r="AO54" i="26"/>
  <c r="AN71" i="29"/>
  <c r="AI72" i="19"/>
  <c r="BJ54" i="23"/>
  <c r="H55" i="23" s="1"/>
  <c r="Y55" i="23" s="1"/>
  <c r="BF54" i="23"/>
  <c r="D55" i="23" s="1"/>
  <c r="U55" i="23" s="1"/>
  <c r="BD54" i="23"/>
  <c r="BG54" i="23"/>
  <c r="E55" i="23" s="1"/>
  <c r="V55" i="23" s="1"/>
  <c r="BI54" i="23"/>
  <c r="G55" i="23" s="1"/>
  <c r="X55" i="23" s="1"/>
  <c r="BF54" i="26"/>
  <c r="BD54" i="26"/>
  <c r="BJ54" i="26"/>
  <c r="H55" i="26" s="1"/>
  <c r="Y55" i="26" s="1"/>
  <c r="BI54" i="26"/>
  <c r="BG54" i="26"/>
  <c r="BJ54" i="20"/>
  <c r="H55" i="20" s="1"/>
  <c r="Y55" i="20" s="1"/>
  <c r="BG54" i="20"/>
  <c r="E55" i="20" s="1"/>
  <c r="V55" i="20" s="1"/>
  <c r="BI54" i="20"/>
  <c r="G55" i="20" s="1"/>
  <c r="X55" i="20" s="1"/>
  <c r="BD54" i="20"/>
  <c r="BF54" i="20"/>
  <c r="D55" i="20" s="1"/>
  <c r="U55" i="20" s="1"/>
  <c r="BB68" i="24"/>
  <c r="BU68" i="24"/>
  <c r="AA68" i="24"/>
  <c r="AB68" i="24" s="1"/>
  <c r="AC68" i="24" s="1"/>
  <c r="BQ68" i="24"/>
  <c r="BV68" i="24"/>
  <c r="AK68" i="24"/>
  <c r="BA68" i="24"/>
  <c r="AN68" i="24"/>
  <c r="AD68" i="24"/>
  <c r="BT68" i="24"/>
  <c r="AJ68" i="24"/>
  <c r="BR68" i="24"/>
  <c r="AM68" i="24"/>
  <c r="R72" i="19"/>
  <c r="AF72" i="19"/>
  <c r="V72" i="19"/>
  <c r="I19" i="8" s="1"/>
  <c r="U72" i="19"/>
  <c r="J72" i="29"/>
  <c r="K72" i="29" s="1"/>
  <c r="L72" i="29" s="1"/>
  <c r="AP54" i="26"/>
  <c r="S63" i="22"/>
  <c r="I63" i="22"/>
  <c r="J63" i="22" s="1"/>
  <c r="I69" i="24"/>
  <c r="J69" i="24" s="1"/>
  <c r="K69" i="24" s="1"/>
  <c r="L69" i="24" s="1"/>
  <c r="S69" i="24"/>
  <c r="S72" i="19"/>
  <c r="Z72" i="29"/>
  <c r="AG72" i="29" s="1"/>
  <c r="B73" i="29"/>
  <c r="P71" i="7"/>
  <c r="AT62" i="22"/>
  <c r="AH68" i="24"/>
  <c r="AD71" i="21"/>
  <c r="AA71" i="21"/>
  <c r="AB71" i="21" s="1"/>
  <c r="AC71" i="21" s="1"/>
  <c r="AJ71" i="21"/>
  <c r="AL71" i="21"/>
  <c r="AM71" i="21"/>
  <c r="AI71" i="21"/>
  <c r="I81" i="10"/>
  <c r="L63" i="10"/>
  <c r="AP71" i="12"/>
  <c r="AO71" i="12"/>
  <c r="BK63" i="10"/>
  <c r="AD63" i="10"/>
  <c r="AA63" i="10"/>
  <c r="AB63" i="10" s="1"/>
  <c r="AC63" i="10" s="1"/>
  <c r="BA63" i="10"/>
  <c r="AJ63" i="10"/>
  <c r="AM63" i="10"/>
  <c r="AK63" i="10"/>
  <c r="AN63" i="10"/>
  <c r="AW63" i="10"/>
  <c r="I72" i="21"/>
  <c r="J72" i="21" s="1"/>
  <c r="K72" i="21" s="1"/>
  <c r="L72" i="21" s="1"/>
  <c r="AT63" i="10"/>
  <c r="AT72" i="12"/>
  <c r="B73" i="12" s="1"/>
  <c r="Z72" i="12"/>
  <c r="AH72" i="12" s="1"/>
  <c r="AT72" i="19"/>
  <c r="AU72" i="19" s="1"/>
  <c r="AO72" i="19"/>
  <c r="D73" i="19" s="1"/>
  <c r="J72" i="19"/>
  <c r="K72" i="19" s="1"/>
  <c r="L72" i="19" s="1"/>
  <c r="AJ72" i="19"/>
  <c r="AM72" i="19"/>
  <c r="B73" i="19" s="1"/>
  <c r="AS72" i="19"/>
  <c r="H73" i="19" s="1"/>
  <c r="AR72" i="19"/>
  <c r="G73" i="19" s="1"/>
  <c r="AP72" i="19"/>
  <c r="E73" i="19" s="1"/>
  <c r="AG71" i="21"/>
  <c r="AC72" i="19"/>
  <c r="Y71" i="25" l="1"/>
  <c r="AQ54" i="23"/>
  <c r="AP71" i="29"/>
  <c r="AQ54" i="20"/>
  <c r="W72" i="19"/>
  <c r="AN71" i="9"/>
  <c r="J72" i="9"/>
  <c r="K72" i="9" s="1"/>
  <c r="L72" i="9" s="1"/>
  <c r="V72" i="25"/>
  <c r="AM72" i="25"/>
  <c r="AT72" i="25"/>
  <c r="AU72" i="25" s="1"/>
  <c r="AR72" i="25"/>
  <c r="G73" i="25" s="1"/>
  <c r="J72" i="25"/>
  <c r="K72" i="25" s="1"/>
  <c r="L72" i="25" s="1"/>
  <c r="AJ72" i="25"/>
  <c r="AS72" i="25"/>
  <c r="AO72" i="25"/>
  <c r="D73" i="25" s="1"/>
  <c r="AP72" i="25"/>
  <c r="E73" i="25" s="1"/>
  <c r="B73" i="9"/>
  <c r="Z72" i="9"/>
  <c r="AG72" i="9" s="1"/>
  <c r="R72" i="25"/>
  <c r="I18" i="8"/>
  <c r="I20" i="8" s="1"/>
  <c r="AO62" i="22"/>
  <c r="AF72" i="25"/>
  <c r="AO71" i="9"/>
  <c r="AE72" i="25"/>
  <c r="S72" i="25"/>
  <c r="AI72" i="25"/>
  <c r="U72" i="25"/>
  <c r="X72" i="19"/>
  <c r="P72" i="25"/>
  <c r="AH72" i="25"/>
  <c r="AP62" i="22"/>
  <c r="B55" i="23"/>
  <c r="BL54" i="23"/>
  <c r="AO68" i="24"/>
  <c r="AQ71" i="12"/>
  <c r="AP68" i="24"/>
  <c r="Z69" i="24"/>
  <c r="AH69" i="24" s="1"/>
  <c r="AT69" i="24"/>
  <c r="B70" i="24" s="1"/>
  <c r="AQ54" i="26"/>
  <c r="AB72" i="7"/>
  <c r="I72" i="7"/>
  <c r="X71" i="7"/>
  <c r="W71" i="7"/>
  <c r="B55" i="26"/>
  <c r="BL54" i="26"/>
  <c r="AO63" i="10"/>
  <c r="S73" i="29"/>
  <c r="I73" i="29"/>
  <c r="K63" i="22"/>
  <c r="I80" i="22"/>
  <c r="B31" i="8" s="1"/>
  <c r="Q31" i="8" s="1"/>
  <c r="B55" i="20"/>
  <c r="BL54" i="20"/>
  <c r="AL72" i="29"/>
  <c r="AA72" i="29"/>
  <c r="AB72" i="29" s="1"/>
  <c r="AC72" i="29" s="1"/>
  <c r="AJ72" i="29"/>
  <c r="AI72" i="29"/>
  <c r="AM72" i="29"/>
  <c r="M35" i="8" s="1"/>
  <c r="AD72" i="29"/>
  <c r="Z63" i="22"/>
  <c r="AH63" i="22" s="1"/>
  <c r="I73" i="19"/>
  <c r="P73" i="19" s="1"/>
  <c r="AO71" i="21"/>
  <c r="AN71" i="21"/>
  <c r="AP63" i="10"/>
  <c r="AD72" i="12"/>
  <c r="AA72" i="12"/>
  <c r="AB72" i="12" s="1"/>
  <c r="AC72" i="12" s="1"/>
  <c r="BB72" i="12"/>
  <c r="BA72" i="12"/>
  <c r="AN72" i="12"/>
  <c r="AM72" i="12"/>
  <c r="AK72" i="12"/>
  <c r="AJ72" i="12"/>
  <c r="B73" i="21"/>
  <c r="S73" i="21" s="1"/>
  <c r="Z72" i="21"/>
  <c r="AG72" i="21" s="1"/>
  <c r="I73" i="12"/>
  <c r="S73" i="12"/>
  <c r="BF63" i="10"/>
  <c r="D64" i="10" s="1"/>
  <c r="U64" i="10" s="1"/>
  <c r="BJ63" i="10"/>
  <c r="H64" i="10" s="1"/>
  <c r="Y64" i="10" s="1"/>
  <c r="BI63" i="10"/>
  <c r="G64" i="10" s="1"/>
  <c r="X64" i="10" s="1"/>
  <c r="BD63" i="10"/>
  <c r="BG63" i="10"/>
  <c r="E64" i="10" s="1"/>
  <c r="V64" i="10" s="1"/>
  <c r="AQ63" i="10" l="1"/>
  <c r="Y71" i="7"/>
  <c r="Y72" i="19"/>
  <c r="AQ62" i="22"/>
  <c r="AP71" i="9"/>
  <c r="R73" i="19"/>
  <c r="AF73" i="19"/>
  <c r="AI73" i="19"/>
  <c r="AE73" i="19"/>
  <c r="U73" i="19"/>
  <c r="S73" i="19"/>
  <c r="AT63" i="22"/>
  <c r="AH73" i="19"/>
  <c r="AQ68" i="24"/>
  <c r="AD72" i="9"/>
  <c r="AL72" i="9"/>
  <c r="AJ72" i="9"/>
  <c r="AM72" i="9"/>
  <c r="AA72" i="9"/>
  <c r="AB72" i="9" s="1"/>
  <c r="AC72" i="9" s="1"/>
  <c r="AI72" i="9"/>
  <c r="I73" i="9"/>
  <c r="S73" i="9"/>
  <c r="B74" i="9" s="1"/>
  <c r="B73" i="25"/>
  <c r="AM76" i="25"/>
  <c r="X72" i="25"/>
  <c r="W72" i="25"/>
  <c r="AO72" i="29"/>
  <c r="AS76" i="25"/>
  <c r="H73" i="25"/>
  <c r="AO72" i="12"/>
  <c r="V73" i="19"/>
  <c r="AC73" i="19"/>
  <c r="I81" i="22"/>
  <c r="B32" i="8" s="1"/>
  <c r="Q32" i="8" s="1"/>
  <c r="L63" i="22"/>
  <c r="AP72" i="12"/>
  <c r="J73" i="29"/>
  <c r="K73" i="29" s="1"/>
  <c r="L73" i="29" s="1"/>
  <c r="I86" i="29"/>
  <c r="AD69" i="24"/>
  <c r="BB69" i="24"/>
  <c r="BA69" i="24"/>
  <c r="AA69" i="24"/>
  <c r="AB69" i="24" s="1"/>
  <c r="AC69" i="24" s="1"/>
  <c r="AK69" i="24"/>
  <c r="AN69" i="24"/>
  <c r="AJ69" i="24"/>
  <c r="AM69" i="24"/>
  <c r="Z73" i="29"/>
  <c r="AG73" i="29" s="1"/>
  <c r="AG76" i="29" s="1"/>
  <c r="D32" i="14"/>
  <c r="R72" i="7"/>
  <c r="J72" i="7"/>
  <c r="K72" i="7" s="1"/>
  <c r="L72" i="7" s="1"/>
  <c r="U72" i="7"/>
  <c r="V72" i="7"/>
  <c r="S72" i="7"/>
  <c r="P72" i="7"/>
  <c r="I70" i="24"/>
  <c r="J70" i="24" s="1"/>
  <c r="K70" i="24" s="1"/>
  <c r="L70" i="24" s="1"/>
  <c r="S70" i="24"/>
  <c r="AA63" i="22"/>
  <c r="AB63" i="22" s="1"/>
  <c r="AC63" i="22" s="1"/>
  <c r="BA63" i="22"/>
  <c r="AD63" i="22"/>
  <c r="BK63" i="22"/>
  <c r="AW63" i="22"/>
  <c r="AN63" i="22"/>
  <c r="AM63" i="22"/>
  <c r="AJ63" i="22"/>
  <c r="AK63" i="22"/>
  <c r="AI72" i="7"/>
  <c r="AJ72" i="7" s="1"/>
  <c r="B73" i="7"/>
  <c r="S55" i="26"/>
  <c r="I55" i="26"/>
  <c r="J55" i="26" s="1"/>
  <c r="K55" i="26" s="1"/>
  <c r="L55" i="26" s="1"/>
  <c r="S55" i="20"/>
  <c r="I55" i="20"/>
  <c r="J55" i="20" s="1"/>
  <c r="K55" i="20" s="1"/>
  <c r="L55" i="20" s="1"/>
  <c r="AN72" i="29"/>
  <c r="AP72" i="29" s="1"/>
  <c r="F31" i="8"/>
  <c r="H31" i="8"/>
  <c r="S55" i="23"/>
  <c r="I55" i="23"/>
  <c r="J55" i="23" s="1"/>
  <c r="K55" i="23" s="1"/>
  <c r="L55" i="23" s="1"/>
  <c r="B64" i="10"/>
  <c r="BL63" i="10"/>
  <c r="I73" i="21"/>
  <c r="B74" i="21"/>
  <c r="S74" i="21" s="1"/>
  <c r="G65" i="10"/>
  <c r="X65" i="10" s="1"/>
  <c r="J73" i="12"/>
  <c r="K73" i="12" s="1"/>
  <c r="L73" i="12" s="1"/>
  <c r="H65" i="10"/>
  <c r="Y65" i="10" s="1"/>
  <c r="E65" i="10"/>
  <c r="V65" i="10" s="1"/>
  <c r="D65" i="10"/>
  <c r="U65" i="10" s="1"/>
  <c r="AT73" i="12"/>
  <c r="B74" i="12" s="1"/>
  <c r="Z73" i="12"/>
  <c r="AD72" i="21"/>
  <c r="AA72" i="21"/>
  <c r="AB72" i="21" s="1"/>
  <c r="AC72" i="21" s="1"/>
  <c r="AM72" i="21"/>
  <c r="AJ72" i="21"/>
  <c r="AL72" i="21"/>
  <c r="AI72" i="21"/>
  <c r="AP71" i="21"/>
  <c r="J73" i="19"/>
  <c r="K73" i="19" s="1"/>
  <c r="L73" i="19" s="1"/>
  <c r="AM73" i="19"/>
  <c r="B74" i="19" s="1"/>
  <c r="AT73" i="19"/>
  <c r="AU73" i="19" s="1"/>
  <c r="AS73" i="19"/>
  <c r="H74" i="19" s="1"/>
  <c r="AO73" i="19"/>
  <c r="D74" i="19" s="1"/>
  <c r="AR73" i="19"/>
  <c r="G74" i="19" s="1"/>
  <c r="AJ73" i="19"/>
  <c r="AP73" i="19"/>
  <c r="E74" i="19" s="1"/>
  <c r="S74" i="9" l="1"/>
  <c r="I74" i="9"/>
  <c r="J74" i="9"/>
  <c r="K74" i="9" s="1"/>
  <c r="L74" i="9" s="1"/>
  <c r="I74" i="21"/>
  <c r="J74" i="21" s="1"/>
  <c r="K74" i="21" s="1"/>
  <c r="L74" i="21" s="1"/>
  <c r="I74" i="12"/>
  <c r="J74" i="12" s="1"/>
  <c r="K74" i="12" s="1"/>
  <c r="L74" i="12" s="1"/>
  <c r="S74" i="12"/>
  <c r="I74" i="19"/>
  <c r="AE74" i="19" s="1"/>
  <c r="S76" i="29"/>
  <c r="B76" i="29" s="1"/>
  <c r="I76" i="29" s="1"/>
  <c r="M27" i="8" s="1"/>
  <c r="U27" i="8" s="1"/>
  <c r="B76" i="12"/>
  <c r="I76" i="12" s="1"/>
  <c r="W73" i="19"/>
  <c r="AO63" i="22"/>
  <c r="AO72" i="9"/>
  <c r="X73" i="19"/>
  <c r="Y72" i="25"/>
  <c r="AP69" i="24"/>
  <c r="AQ72" i="12"/>
  <c r="I73" i="25"/>
  <c r="P73" i="25" s="1"/>
  <c r="Z73" i="9"/>
  <c r="AP63" i="22"/>
  <c r="J73" i="9"/>
  <c r="K73" i="9" s="1"/>
  <c r="L73" i="9" s="1"/>
  <c r="AN72" i="9"/>
  <c r="Z55" i="26"/>
  <c r="AT55" i="26" s="1"/>
  <c r="Z70" i="24"/>
  <c r="AH70" i="24" s="1"/>
  <c r="AT70" i="24"/>
  <c r="B71" i="24" s="1"/>
  <c r="Z55" i="23"/>
  <c r="AH55" i="23" s="1"/>
  <c r="I73" i="7"/>
  <c r="AB73" i="7"/>
  <c r="B74" i="7" s="1"/>
  <c r="W72" i="7"/>
  <c r="X72" i="7"/>
  <c r="BD63" i="22"/>
  <c r="BG63" i="22"/>
  <c r="E64" i="22" s="1"/>
  <c r="V64" i="22" s="1"/>
  <c r="BI63" i="22"/>
  <c r="G64" i="22" s="1"/>
  <c r="X64" i="22" s="1"/>
  <c r="BF63" i="22"/>
  <c r="D64" i="22" s="1"/>
  <c r="U64" i="22" s="1"/>
  <c r="BJ63" i="22"/>
  <c r="H64" i="22" s="1"/>
  <c r="Y64" i="22" s="1"/>
  <c r="H32" i="8"/>
  <c r="F32" i="8"/>
  <c r="AN72" i="21"/>
  <c r="AO69" i="24"/>
  <c r="Z55" i="20"/>
  <c r="AT55" i="20" s="1"/>
  <c r="AA73" i="29"/>
  <c r="AM73" i="29"/>
  <c r="AM76" i="29" s="1"/>
  <c r="AD73" i="29"/>
  <c r="AL73" i="29"/>
  <c r="AL76" i="29" s="1"/>
  <c r="AI73" i="29"/>
  <c r="AI76" i="29" s="1"/>
  <c r="AJ73" i="29"/>
  <c r="AO72" i="21"/>
  <c r="BA73" i="12"/>
  <c r="AD73" i="12"/>
  <c r="AA73" i="12"/>
  <c r="BB73" i="12"/>
  <c r="AN73" i="12"/>
  <c r="AM73" i="12"/>
  <c r="AK73" i="12"/>
  <c r="AJ73" i="12"/>
  <c r="Z73" i="21"/>
  <c r="AH73" i="12"/>
  <c r="J73" i="21"/>
  <c r="K73" i="21" s="1"/>
  <c r="L73" i="21" s="1"/>
  <c r="S64" i="10"/>
  <c r="I64" i="10"/>
  <c r="J64" i="10" s="1"/>
  <c r="K64" i="10" s="1"/>
  <c r="L64" i="10" s="1"/>
  <c r="B75" i="9" l="1"/>
  <c r="Z74" i="9"/>
  <c r="AG74" i="9" s="1"/>
  <c r="B75" i="21"/>
  <c r="S75" i="21" s="1"/>
  <c r="Z74" i="21"/>
  <c r="AG74" i="21" s="1"/>
  <c r="AT74" i="12"/>
  <c r="Z74" i="12"/>
  <c r="R74" i="19"/>
  <c r="S74" i="19"/>
  <c r="P74" i="19"/>
  <c r="AJ74" i="19"/>
  <c r="AP74" i="19"/>
  <c r="E75" i="19" s="1"/>
  <c r="AT74" i="19"/>
  <c r="AU74" i="19" s="1"/>
  <c r="AS74" i="19"/>
  <c r="H75" i="19" s="1"/>
  <c r="AM74" i="19"/>
  <c r="B75" i="19" s="1"/>
  <c r="AR74" i="19"/>
  <c r="G75" i="19" s="1"/>
  <c r="J74" i="19"/>
  <c r="K74" i="19" s="1"/>
  <c r="L74" i="19" s="1"/>
  <c r="AO74" i="19"/>
  <c r="D75" i="19" s="1"/>
  <c r="AF74" i="19"/>
  <c r="V74" i="19"/>
  <c r="AH74" i="19"/>
  <c r="AB74" i="7"/>
  <c r="I74" i="7"/>
  <c r="AC74" i="19"/>
  <c r="AI74" i="19"/>
  <c r="U74" i="19"/>
  <c r="Z76" i="29"/>
  <c r="I77" i="29" s="1"/>
  <c r="I79" i="29" s="1"/>
  <c r="M30" i="8" s="1"/>
  <c r="U30" i="8" s="1"/>
  <c r="AM78" i="29"/>
  <c r="I88" i="29"/>
  <c r="U35" i="8" s="1"/>
  <c r="P73" i="7"/>
  <c r="D33" i="14"/>
  <c r="AG73" i="21"/>
  <c r="AB73" i="12"/>
  <c r="AC73" i="12" s="1"/>
  <c r="AB73" i="29"/>
  <c r="AC73" i="29" s="1"/>
  <c r="AQ63" i="22"/>
  <c r="Y73" i="19"/>
  <c r="AH55" i="20"/>
  <c r="AP72" i="9"/>
  <c r="AC73" i="25"/>
  <c r="AP73" i="25"/>
  <c r="E74" i="25" s="1"/>
  <c r="AR73" i="25"/>
  <c r="G74" i="25" s="1"/>
  <c r="AM73" i="25"/>
  <c r="B74" i="25" s="1"/>
  <c r="AO73" i="25"/>
  <c r="D74" i="25" s="1"/>
  <c r="AS73" i="25"/>
  <c r="H74" i="25" s="1"/>
  <c r="J73" i="25"/>
  <c r="K73" i="25" s="1"/>
  <c r="L73" i="25" s="1"/>
  <c r="AT73" i="25"/>
  <c r="AU73" i="25" s="1"/>
  <c r="AJ73" i="25"/>
  <c r="AH73" i="25"/>
  <c r="R73" i="25"/>
  <c r="U73" i="25"/>
  <c r="AE73" i="25"/>
  <c r="S73" i="25"/>
  <c r="AF73" i="25"/>
  <c r="AP72" i="21"/>
  <c r="AN73" i="29"/>
  <c r="AN76" i="29" s="1"/>
  <c r="Y72" i="7"/>
  <c r="AI73" i="25"/>
  <c r="AA73" i="9"/>
  <c r="AM73" i="9"/>
  <c r="AI73" i="9"/>
  <c r="AL73" i="9"/>
  <c r="AJ73" i="9"/>
  <c r="AD73" i="9"/>
  <c r="V73" i="25"/>
  <c r="AH55" i="26"/>
  <c r="AG73" i="9"/>
  <c r="AQ69" i="24"/>
  <c r="AA55" i="23"/>
  <c r="AB55" i="23" s="1"/>
  <c r="AC55" i="23" s="1"/>
  <c r="AM55" i="23"/>
  <c r="AJ55" i="23"/>
  <c r="BA55" i="23"/>
  <c r="BK55" i="23"/>
  <c r="AK55" i="23"/>
  <c r="AN55" i="23"/>
  <c r="AD55" i="23"/>
  <c r="H65" i="22"/>
  <c r="Y65" i="22" s="1"/>
  <c r="S71" i="24"/>
  <c r="I71" i="24"/>
  <c r="AO73" i="29"/>
  <c r="AO76" i="29" s="1"/>
  <c r="D65" i="22"/>
  <c r="U65" i="22" s="1"/>
  <c r="G65" i="22"/>
  <c r="X65" i="22" s="1"/>
  <c r="AJ70" i="24"/>
  <c r="BA70" i="24"/>
  <c r="AM70" i="24"/>
  <c r="AA70" i="24"/>
  <c r="AB70" i="24" s="1"/>
  <c r="AC70" i="24" s="1"/>
  <c r="BB70" i="24"/>
  <c r="AD70" i="24"/>
  <c r="AK70" i="24"/>
  <c r="AN70" i="24"/>
  <c r="E65" i="22"/>
  <c r="V65" i="22" s="1"/>
  <c r="AI73" i="7"/>
  <c r="AJ73" i="7" s="1"/>
  <c r="B64" i="22"/>
  <c r="BL63" i="22"/>
  <c r="J73" i="7"/>
  <c r="K73" i="7" s="1"/>
  <c r="L73" i="7" s="1"/>
  <c r="V73" i="7"/>
  <c r="U73" i="7"/>
  <c r="R73" i="7"/>
  <c r="S73" i="7"/>
  <c r="BK55" i="20"/>
  <c r="AD55" i="20"/>
  <c r="AA55" i="20"/>
  <c r="AB55" i="20" s="1"/>
  <c r="AC55" i="20" s="1"/>
  <c r="BA55" i="20"/>
  <c r="AJ55" i="20"/>
  <c r="AY55" i="20"/>
  <c r="AV55" i="20"/>
  <c r="AW55" i="20"/>
  <c r="AK55" i="20"/>
  <c r="AN55" i="20"/>
  <c r="AZ55" i="20"/>
  <c r="AM55" i="20"/>
  <c r="AT55" i="23"/>
  <c r="AW55" i="26"/>
  <c r="BK55" i="26"/>
  <c r="AM55" i="26"/>
  <c r="AY55" i="26"/>
  <c r="AA55" i="26"/>
  <c r="AB55" i="26" s="1"/>
  <c r="AC55" i="26" s="1"/>
  <c r="AD55" i="26"/>
  <c r="AV55" i="26"/>
  <c r="AK55" i="26"/>
  <c r="BA55" i="26"/>
  <c r="AJ55" i="26"/>
  <c r="AN55" i="26"/>
  <c r="AZ55" i="26"/>
  <c r="AD73" i="21"/>
  <c r="AA73" i="21"/>
  <c r="AB73" i="21" s="1"/>
  <c r="AC73" i="21" s="1"/>
  <c r="AL73" i="21"/>
  <c r="AI73" i="21"/>
  <c r="AM73" i="21"/>
  <c r="AJ73" i="21"/>
  <c r="B65" i="10"/>
  <c r="Z64" i="10"/>
  <c r="AO73" i="12"/>
  <c r="AP73" i="12"/>
  <c r="AI74" i="9" l="1"/>
  <c r="AM74" i="9"/>
  <c r="AL74" i="9"/>
  <c r="AJ74" i="9"/>
  <c r="AD74" i="9"/>
  <c r="S75" i="9"/>
  <c r="I75" i="9"/>
  <c r="AA74" i="9"/>
  <c r="AB74" i="9" s="1"/>
  <c r="AC74" i="9" s="1"/>
  <c r="AI74" i="21"/>
  <c r="AL74" i="21"/>
  <c r="AD74" i="21"/>
  <c r="AM74" i="21"/>
  <c r="AJ74" i="21"/>
  <c r="I75" i="21"/>
  <c r="AA74" i="21"/>
  <c r="AB74" i="21" s="1"/>
  <c r="AC74" i="21" s="1"/>
  <c r="BA74" i="12"/>
  <c r="AD74" i="12"/>
  <c r="AA74" i="12"/>
  <c r="AB74" i="12" s="1"/>
  <c r="AC74" i="12" s="1"/>
  <c r="AJ74" i="12"/>
  <c r="AK74" i="12"/>
  <c r="AM74" i="12"/>
  <c r="AN74" i="12"/>
  <c r="AH74" i="12"/>
  <c r="AO74" i="12" s="1"/>
  <c r="BB74" i="12"/>
  <c r="B75" i="12"/>
  <c r="I83" i="29"/>
  <c r="J74" i="7"/>
  <c r="K74" i="7" s="1"/>
  <c r="L74" i="7" s="1"/>
  <c r="V74" i="7"/>
  <c r="U74" i="7"/>
  <c r="R74" i="7"/>
  <c r="S74" i="7"/>
  <c r="I75" i="19"/>
  <c r="P75" i="19" s="1"/>
  <c r="AI74" i="7"/>
  <c r="AJ74" i="7" s="1"/>
  <c r="B75" i="7"/>
  <c r="W74" i="19"/>
  <c r="I74" i="25"/>
  <c r="AF74" i="25" s="1"/>
  <c r="AC74" i="25"/>
  <c r="P74" i="25"/>
  <c r="U74" i="25"/>
  <c r="P74" i="7"/>
  <c r="X74" i="19"/>
  <c r="I84" i="29"/>
  <c r="M28" i="8"/>
  <c r="U28" i="8" s="1"/>
  <c r="I87" i="29"/>
  <c r="AO78" i="29"/>
  <c r="AB73" i="9"/>
  <c r="AC73" i="9" s="1"/>
  <c r="I78" i="29"/>
  <c r="M29" i="8" s="1"/>
  <c r="U29" i="8" s="1"/>
  <c r="AP55" i="23"/>
  <c r="AO55" i="26"/>
  <c r="AO55" i="23"/>
  <c r="W73" i="25"/>
  <c r="AN73" i="21"/>
  <c r="M34" i="8"/>
  <c r="X73" i="25"/>
  <c r="AO55" i="20"/>
  <c r="AO70" i="24"/>
  <c r="AO73" i="9"/>
  <c r="AN73" i="9"/>
  <c r="W73" i="7"/>
  <c r="AP73" i="29"/>
  <c r="AP76" i="29" s="1"/>
  <c r="AP70" i="24"/>
  <c r="BF55" i="23"/>
  <c r="D56" i="23" s="1"/>
  <c r="U56" i="23" s="1"/>
  <c r="BD55" i="23"/>
  <c r="BG55" i="23"/>
  <c r="E56" i="23" s="1"/>
  <c r="V56" i="23" s="1"/>
  <c r="BJ55" i="23"/>
  <c r="H56" i="23" s="1"/>
  <c r="Y56" i="23" s="1"/>
  <c r="BI55" i="23"/>
  <c r="G56" i="23" s="1"/>
  <c r="X56" i="23" s="1"/>
  <c r="X73" i="7"/>
  <c r="AO73" i="21"/>
  <c r="BJ55" i="20"/>
  <c r="H56" i="20" s="1"/>
  <c r="Y56" i="20" s="1"/>
  <c r="BG55" i="20"/>
  <c r="E56" i="20" s="1"/>
  <c r="V56" i="20" s="1"/>
  <c r="BI55" i="20"/>
  <c r="G56" i="20" s="1"/>
  <c r="X56" i="20" s="1"/>
  <c r="BF55" i="20"/>
  <c r="D56" i="20" s="1"/>
  <c r="U56" i="20" s="1"/>
  <c r="BD55" i="20"/>
  <c r="J71" i="24"/>
  <c r="K71" i="24" s="1"/>
  <c r="L71" i="24" s="1"/>
  <c r="AP55" i="26"/>
  <c r="BJ55" i="26"/>
  <c r="H56" i="26" s="1"/>
  <c r="Y56" i="26" s="1"/>
  <c r="BF55" i="26"/>
  <c r="BI55" i="26"/>
  <c r="BG55" i="26"/>
  <c r="BD55" i="26"/>
  <c r="AP55" i="20"/>
  <c r="AT71" i="24"/>
  <c r="B72" i="24" s="1"/>
  <c r="Z71" i="24"/>
  <c r="AH71" i="24" s="1"/>
  <c r="I64" i="22"/>
  <c r="J64" i="22" s="1"/>
  <c r="K64" i="22" s="1"/>
  <c r="L64" i="22" s="1"/>
  <c r="S64" i="22"/>
  <c r="AA64" i="10"/>
  <c r="AB64" i="10" s="1"/>
  <c r="AC64" i="10" s="1"/>
  <c r="AD64" i="10"/>
  <c r="BA64" i="10"/>
  <c r="BL64" i="10"/>
  <c r="BK64" i="10"/>
  <c r="AM64" i="10"/>
  <c r="AW64" i="10"/>
  <c r="AJ64" i="10"/>
  <c r="AN64" i="10"/>
  <c r="AK64" i="10"/>
  <c r="AQ73" i="12"/>
  <c r="AQ76" i="12" s="1"/>
  <c r="S65" i="10"/>
  <c r="I65" i="10"/>
  <c r="J65" i="10" s="1"/>
  <c r="K65" i="10" s="1"/>
  <c r="L65" i="10" s="1"/>
  <c r="AT64" i="10"/>
  <c r="AH64" i="10"/>
  <c r="AN74" i="9" l="1"/>
  <c r="AO74" i="9"/>
  <c r="AP74" i="9" s="1"/>
  <c r="Z75" i="9"/>
  <c r="AG75" i="9"/>
  <c r="S76" i="9"/>
  <c r="B76" i="9" s="1"/>
  <c r="I76" i="9" s="1"/>
  <c r="J75" i="9"/>
  <c r="K75" i="9" s="1"/>
  <c r="L75" i="9" s="1"/>
  <c r="I86" i="9"/>
  <c r="AO74" i="21"/>
  <c r="J75" i="21"/>
  <c r="K75" i="21" s="1"/>
  <c r="L75" i="21" s="1"/>
  <c r="I86" i="21"/>
  <c r="Z75" i="21"/>
  <c r="AG75" i="21" s="1"/>
  <c r="S76" i="21"/>
  <c r="AN74" i="21"/>
  <c r="AP74" i="12"/>
  <c r="AQ74" i="12" s="1"/>
  <c r="I75" i="12"/>
  <c r="S75" i="12"/>
  <c r="AI75" i="19"/>
  <c r="U75" i="19"/>
  <c r="U76" i="19" s="1"/>
  <c r="AF75" i="19"/>
  <c r="V75" i="19"/>
  <c r="V76" i="19" s="1"/>
  <c r="I86" i="19" s="1"/>
  <c r="S75" i="19"/>
  <c r="R75" i="19"/>
  <c r="R76" i="19" s="1"/>
  <c r="AC75" i="19"/>
  <c r="S74" i="25"/>
  <c r="AH75" i="19"/>
  <c r="AH74" i="25"/>
  <c r="AE75" i="19"/>
  <c r="X74" i="7"/>
  <c r="W74" i="7"/>
  <c r="P76" i="19"/>
  <c r="AP74" i="25"/>
  <c r="E75" i="25" s="1"/>
  <c r="AM74" i="25"/>
  <c r="B75" i="25" s="1"/>
  <c r="AJ74" i="25"/>
  <c r="J74" i="25"/>
  <c r="K74" i="25" s="1"/>
  <c r="L74" i="25" s="1"/>
  <c r="AR74" i="25"/>
  <c r="G75" i="25" s="1"/>
  <c r="AO74" i="25"/>
  <c r="D75" i="25" s="1"/>
  <c r="AS74" i="25"/>
  <c r="H75" i="25" s="1"/>
  <c r="AT74" i="25"/>
  <c r="AU74" i="25" s="1"/>
  <c r="R74" i="25"/>
  <c r="AJ75" i="19"/>
  <c r="AO75" i="19"/>
  <c r="D76" i="19" s="1"/>
  <c r="AM75" i="19"/>
  <c r="B76" i="19" s="1"/>
  <c r="J75" i="19"/>
  <c r="K75" i="19" s="1"/>
  <c r="L75" i="19" s="1"/>
  <c r="I78" i="19" s="1"/>
  <c r="I14" i="8" s="1"/>
  <c r="AP75" i="19"/>
  <c r="E76" i="19" s="1"/>
  <c r="AT75" i="19"/>
  <c r="AU75" i="19" s="1"/>
  <c r="AS75" i="19"/>
  <c r="H76" i="19" s="1"/>
  <c r="AR75" i="19"/>
  <c r="G76" i="19" s="1"/>
  <c r="I84" i="19"/>
  <c r="AI74" i="25"/>
  <c r="AB75" i="7"/>
  <c r="I75" i="7"/>
  <c r="P75" i="7" s="1"/>
  <c r="V78" i="19"/>
  <c r="Y74" i="19"/>
  <c r="AE74" i="25"/>
  <c r="V74" i="25"/>
  <c r="U34" i="8"/>
  <c r="AQ55" i="26"/>
  <c r="AQ55" i="23"/>
  <c r="AQ70" i="24"/>
  <c r="AQ55" i="20"/>
  <c r="Y73" i="7"/>
  <c r="Y73" i="25"/>
  <c r="AP73" i="21"/>
  <c r="AP73" i="9"/>
  <c r="B56" i="26"/>
  <c r="BL55" i="26"/>
  <c r="B56" i="23"/>
  <c r="BL55" i="23"/>
  <c r="B65" i="22"/>
  <c r="Z64" i="22"/>
  <c r="BB71" i="24"/>
  <c r="AA71" i="24"/>
  <c r="AB71" i="24" s="1"/>
  <c r="AC71" i="24" s="1"/>
  <c r="BA71" i="24"/>
  <c r="AD71" i="24"/>
  <c r="AK71" i="24"/>
  <c r="AM71" i="24"/>
  <c r="AJ71" i="24"/>
  <c r="AN71" i="24"/>
  <c r="S72" i="24"/>
  <c r="I72" i="24"/>
  <c r="B56" i="20"/>
  <c r="BL55" i="20"/>
  <c r="AP64" i="10"/>
  <c r="AO64" i="10"/>
  <c r="Z65" i="10"/>
  <c r="AP74" i="21" l="1"/>
  <c r="AH65" i="10"/>
  <c r="AY65" i="10"/>
  <c r="AV65" i="10"/>
  <c r="AZ65" i="10"/>
  <c r="AI75" i="9"/>
  <c r="AI76" i="9" s="1"/>
  <c r="AL75" i="9"/>
  <c r="AL76" i="9" s="1"/>
  <c r="AM75" i="9"/>
  <c r="AM76" i="9" s="1"/>
  <c r="AM78" i="9" s="1"/>
  <c r="AA75" i="9"/>
  <c r="AJ75" i="9"/>
  <c r="AD75" i="9"/>
  <c r="Z76" i="9"/>
  <c r="AN75" i="9"/>
  <c r="AG76" i="9"/>
  <c r="AI75" i="21"/>
  <c r="AI76" i="21" s="1"/>
  <c r="AD75" i="21"/>
  <c r="AM75" i="21"/>
  <c r="AM76" i="21" s="1"/>
  <c r="AM78" i="21" s="1"/>
  <c r="AJ75" i="21"/>
  <c r="AJ76" i="21" s="1"/>
  <c r="AA75" i="21"/>
  <c r="AL75" i="21"/>
  <c r="AL76" i="21" s="1"/>
  <c r="AG76" i="21"/>
  <c r="B76" i="21"/>
  <c r="Z75" i="12"/>
  <c r="AT75" i="12"/>
  <c r="S76" i="12"/>
  <c r="Z76" i="12" s="1"/>
  <c r="J75" i="12"/>
  <c r="K75" i="12" s="1"/>
  <c r="L75" i="12" s="1"/>
  <c r="I86" i="12"/>
  <c r="Y74" i="7"/>
  <c r="X75" i="19"/>
  <c r="X76" i="19" s="1"/>
  <c r="W74" i="25"/>
  <c r="W75" i="19"/>
  <c r="AI75" i="7"/>
  <c r="AJ75" i="7" s="1"/>
  <c r="B76" i="7"/>
  <c r="I76" i="7" s="1"/>
  <c r="P76" i="7"/>
  <c r="I76" i="19"/>
  <c r="I83" i="19" s="1"/>
  <c r="X74" i="25"/>
  <c r="Y74" i="25" s="1"/>
  <c r="J75" i="7"/>
  <c r="S75" i="7"/>
  <c r="R75" i="7"/>
  <c r="V75" i="7"/>
  <c r="V76" i="7" s="1"/>
  <c r="D19" i="8" s="1"/>
  <c r="U75" i="7"/>
  <c r="U76" i="7" s="1"/>
  <c r="I84" i="7"/>
  <c r="I75" i="25"/>
  <c r="AF75" i="25" s="1"/>
  <c r="I88" i="21"/>
  <c r="AQ64" i="10"/>
  <c r="Z72" i="24"/>
  <c r="AH72" i="24" s="1"/>
  <c r="AT72" i="24"/>
  <c r="B73" i="24" s="1"/>
  <c r="I65" i="22"/>
  <c r="J65" i="22" s="1"/>
  <c r="K65" i="22" s="1"/>
  <c r="L65" i="22" s="1"/>
  <c r="S65" i="22"/>
  <c r="AA64" i="22"/>
  <c r="AB64" i="22" s="1"/>
  <c r="AC64" i="22" s="1"/>
  <c r="BL64" i="22"/>
  <c r="BK64" i="22"/>
  <c r="AD64" i="22"/>
  <c r="BA64" i="22"/>
  <c r="AW64" i="22"/>
  <c r="AM64" i="22"/>
  <c r="AK64" i="22"/>
  <c r="AJ64" i="22"/>
  <c r="I56" i="23"/>
  <c r="J56" i="23" s="1"/>
  <c r="K56" i="23" s="1"/>
  <c r="L56" i="23" s="1"/>
  <c r="S56" i="23"/>
  <c r="S56" i="26"/>
  <c r="I56" i="26"/>
  <c r="J56" i="26" s="1"/>
  <c r="K56" i="26" s="1"/>
  <c r="L56" i="26" s="1"/>
  <c r="J72" i="24"/>
  <c r="K72" i="24" s="1"/>
  <c r="L72" i="24" s="1"/>
  <c r="AP71" i="24"/>
  <c r="AH64" i="22"/>
  <c r="AO71" i="24"/>
  <c r="I56" i="20"/>
  <c r="J56" i="20" s="1"/>
  <c r="K56" i="20" s="1"/>
  <c r="L56" i="20" s="1"/>
  <c r="S56" i="20"/>
  <c r="AT64" i="22"/>
  <c r="BK65" i="10"/>
  <c r="BA65" i="10"/>
  <c r="AD65" i="10"/>
  <c r="AA65" i="10"/>
  <c r="AB65" i="10" s="1"/>
  <c r="AC65" i="10" s="1"/>
  <c r="AJ65" i="10"/>
  <c r="AN65" i="10"/>
  <c r="AW65" i="10"/>
  <c r="AM65" i="10"/>
  <c r="AK65" i="10"/>
  <c r="AT65" i="10"/>
  <c r="AN76" i="9" l="1"/>
  <c r="I77" i="9"/>
  <c r="I79" i="9" s="1"/>
  <c r="I83" i="9"/>
  <c r="AB75" i="9"/>
  <c r="AC75" i="9" s="1"/>
  <c r="I78" i="9" s="1"/>
  <c r="I84" i="9"/>
  <c r="AO75" i="9"/>
  <c r="AO76" i="9" s="1"/>
  <c r="AO78" i="9" s="1"/>
  <c r="AO75" i="21"/>
  <c r="AO76" i="21" s="1"/>
  <c r="AO78" i="21" s="1"/>
  <c r="C35" i="8"/>
  <c r="R35" i="8" s="1"/>
  <c r="AN75" i="21"/>
  <c r="AB75" i="21"/>
  <c r="AC75" i="21" s="1"/>
  <c r="I78" i="21" s="1"/>
  <c r="C29" i="8" s="1"/>
  <c r="R29" i="8" s="1"/>
  <c r="I77" i="12"/>
  <c r="I79" i="12" s="1"/>
  <c r="I83" i="12"/>
  <c r="AH75" i="12"/>
  <c r="AD75" i="12"/>
  <c r="BA75" i="12"/>
  <c r="AA75" i="12"/>
  <c r="BB75" i="12"/>
  <c r="AJ75" i="12"/>
  <c r="AJ76" i="12" s="1"/>
  <c r="AN75" i="12"/>
  <c r="AN76" i="12" s="1"/>
  <c r="AN78" i="12" s="1"/>
  <c r="AM75" i="12"/>
  <c r="AM76" i="12" s="1"/>
  <c r="AK75" i="12"/>
  <c r="I73" i="24"/>
  <c r="J73" i="24" s="1"/>
  <c r="K73" i="24" s="1"/>
  <c r="L73" i="24" s="1"/>
  <c r="S73" i="24"/>
  <c r="AC75" i="25"/>
  <c r="Y75" i="19"/>
  <c r="Y76" i="19" s="1"/>
  <c r="W76" i="19"/>
  <c r="I86" i="7"/>
  <c r="S19" i="8" s="1"/>
  <c r="AH75" i="25"/>
  <c r="V78" i="7"/>
  <c r="X75" i="7"/>
  <c r="X76" i="7" s="1"/>
  <c r="X78" i="7" s="1"/>
  <c r="V75" i="25"/>
  <c r="V76" i="25" s="1"/>
  <c r="L19" i="8" s="1"/>
  <c r="X78" i="19"/>
  <c r="I85" i="19"/>
  <c r="AE75" i="25"/>
  <c r="K75" i="7"/>
  <c r="L75" i="7" s="1"/>
  <c r="I78" i="7" s="1"/>
  <c r="D14" i="8" s="1"/>
  <c r="I83" i="7"/>
  <c r="AI75" i="25"/>
  <c r="I82" i="7"/>
  <c r="J76" i="4"/>
  <c r="D12" i="8"/>
  <c r="I77" i="7"/>
  <c r="AT75" i="25"/>
  <c r="J75" i="25"/>
  <c r="AR75" i="25"/>
  <c r="G76" i="25" s="1"/>
  <c r="AP75" i="25"/>
  <c r="E76" i="25" s="1"/>
  <c r="AJ75" i="25"/>
  <c r="AM75" i="25"/>
  <c r="B76" i="25" s="1"/>
  <c r="AO75" i="25"/>
  <c r="D76" i="25" s="1"/>
  <c r="AS75" i="25"/>
  <c r="H76" i="25" s="1"/>
  <c r="I84" i="25"/>
  <c r="R75" i="25"/>
  <c r="R76" i="25" s="1"/>
  <c r="I77" i="19"/>
  <c r="I12" i="8"/>
  <c r="I82" i="19"/>
  <c r="S75" i="25"/>
  <c r="P75" i="25"/>
  <c r="W75" i="7"/>
  <c r="R76" i="7"/>
  <c r="U75" i="25"/>
  <c r="U76" i="25" s="1"/>
  <c r="AP65" i="10"/>
  <c r="AQ71" i="24"/>
  <c r="Z56" i="20"/>
  <c r="AH56" i="20" s="1"/>
  <c r="Z56" i="26"/>
  <c r="AH56" i="26" s="1"/>
  <c r="Z65" i="22"/>
  <c r="AO64" i="22"/>
  <c r="AP64" i="22"/>
  <c r="Z56" i="23"/>
  <c r="AH56" i="23" s="1"/>
  <c r="AO65" i="10"/>
  <c r="AJ72" i="24"/>
  <c r="AA72" i="24"/>
  <c r="AB72" i="24" s="1"/>
  <c r="AC72" i="24" s="1"/>
  <c r="AD72" i="24"/>
  <c r="AK72" i="24"/>
  <c r="BB72" i="24"/>
  <c r="AM72" i="24"/>
  <c r="BA72" i="24"/>
  <c r="AN72" i="24"/>
  <c r="D66" i="10"/>
  <c r="U66" i="10" s="1"/>
  <c r="H66" i="10"/>
  <c r="Y66" i="10" s="1"/>
  <c r="E66" i="10"/>
  <c r="V66" i="10" s="1"/>
  <c r="G66" i="10"/>
  <c r="X66" i="10" s="1"/>
  <c r="AP75" i="9" l="1"/>
  <c r="AP76" i="9" s="1"/>
  <c r="AH65" i="22"/>
  <c r="AV65" i="22"/>
  <c r="AY65" i="22"/>
  <c r="AP75" i="21"/>
  <c r="AP76" i="21" s="1"/>
  <c r="AN76" i="21"/>
  <c r="C34" i="8"/>
  <c r="I87" i="21"/>
  <c r="AO75" i="12"/>
  <c r="AP75" i="12"/>
  <c r="AP76" i="12" s="1"/>
  <c r="AP78" i="12" s="1"/>
  <c r="AH76" i="12"/>
  <c r="AB75" i="12"/>
  <c r="AC75" i="12" s="1"/>
  <c r="I78" i="12" s="1"/>
  <c r="I84" i="12"/>
  <c r="AQ65" i="10"/>
  <c r="AT73" i="24"/>
  <c r="B74" i="24" s="1"/>
  <c r="Z73" i="24"/>
  <c r="I86" i="25"/>
  <c r="I85" i="7"/>
  <c r="V78" i="25"/>
  <c r="D18" i="8"/>
  <c r="S18" i="8" s="1"/>
  <c r="X75" i="25"/>
  <c r="X76" i="25" s="1"/>
  <c r="W75" i="25"/>
  <c r="P76" i="25"/>
  <c r="I79" i="19"/>
  <c r="I15" i="8" s="1"/>
  <c r="I13" i="8"/>
  <c r="S12" i="8"/>
  <c r="K12" i="8"/>
  <c r="F12" i="8"/>
  <c r="J12" i="8"/>
  <c r="G12" i="8"/>
  <c r="B3" i="18"/>
  <c r="Y75" i="7"/>
  <c r="Y76" i="7" s="1"/>
  <c r="W76" i="7"/>
  <c r="X78" i="25"/>
  <c r="K75" i="25"/>
  <c r="L75" i="25" s="1"/>
  <c r="I78" i="25" s="1"/>
  <c r="L14" i="8" s="1"/>
  <c r="T14" i="8" s="1"/>
  <c r="S14" i="8"/>
  <c r="F14" i="8"/>
  <c r="G14" i="8"/>
  <c r="D13" i="8"/>
  <c r="I79" i="7"/>
  <c r="D15" i="8" s="1"/>
  <c r="AU75" i="25"/>
  <c r="I76" i="25"/>
  <c r="I83" i="25" s="1"/>
  <c r="T19" i="8"/>
  <c r="AT56" i="23"/>
  <c r="AT56" i="20"/>
  <c r="AO72" i="24"/>
  <c r="AP72" i="24"/>
  <c r="AQ64" i="22"/>
  <c r="AD65" i="22"/>
  <c r="BK65" i="22"/>
  <c r="AA65" i="22"/>
  <c r="AB65" i="22" s="1"/>
  <c r="AC65" i="22" s="1"/>
  <c r="BA65" i="22"/>
  <c r="AJ65" i="22"/>
  <c r="AN65" i="22"/>
  <c r="AW65" i="22"/>
  <c r="AK65" i="22"/>
  <c r="AM65" i="22"/>
  <c r="AJ56" i="26"/>
  <c r="AM56" i="26"/>
  <c r="AD56" i="26"/>
  <c r="BA56" i="26"/>
  <c r="AV56" i="26"/>
  <c r="AK56" i="26"/>
  <c r="AY56" i="26"/>
  <c r="AW56" i="26"/>
  <c r="BK56" i="26"/>
  <c r="AA56" i="26"/>
  <c r="AB56" i="26" s="1"/>
  <c r="AC56" i="26" s="1"/>
  <c r="AN56" i="26"/>
  <c r="AZ56" i="26"/>
  <c r="AJ56" i="23"/>
  <c r="AA56" i="23"/>
  <c r="AB56" i="23" s="1"/>
  <c r="AC56" i="23" s="1"/>
  <c r="BA56" i="23"/>
  <c r="BK56" i="23"/>
  <c r="AD56" i="23"/>
  <c r="AK56" i="23"/>
  <c r="AM56" i="23"/>
  <c r="AN56" i="23"/>
  <c r="AT56" i="26"/>
  <c r="AT65" i="22"/>
  <c r="AD56" i="20"/>
  <c r="BA56" i="20"/>
  <c r="AA56" i="20"/>
  <c r="AB56" i="20" s="1"/>
  <c r="AC56" i="20" s="1"/>
  <c r="BK56" i="20"/>
  <c r="AV56" i="20"/>
  <c r="AJ56" i="20"/>
  <c r="AW56" i="20"/>
  <c r="AK56" i="20"/>
  <c r="AZ56" i="20"/>
  <c r="AM56" i="20"/>
  <c r="AN56" i="20"/>
  <c r="AY56" i="20"/>
  <c r="B66" i="10"/>
  <c r="BL65" i="10"/>
  <c r="BI66" i="10"/>
  <c r="G67" i="10" s="1"/>
  <c r="X67" i="10" s="1"/>
  <c r="BF66" i="10"/>
  <c r="D67" i="10" s="1"/>
  <c r="U67" i="10" s="1"/>
  <c r="BJ66" i="10"/>
  <c r="H67" i="10" s="1"/>
  <c r="Y67" i="10" s="1"/>
  <c r="BG66" i="10"/>
  <c r="E67" i="10" s="1"/>
  <c r="V67" i="10" s="1"/>
  <c r="R34" i="8" l="1"/>
  <c r="AQ75" i="12"/>
  <c r="AO76" i="12"/>
  <c r="S74" i="24"/>
  <c r="S75" i="24" s="1"/>
  <c r="I74" i="24"/>
  <c r="J74" i="24" s="1"/>
  <c r="K74" i="24" s="1"/>
  <c r="L74" i="24" s="1"/>
  <c r="BB73" i="24"/>
  <c r="BA73" i="24"/>
  <c r="AA73" i="24"/>
  <c r="AB73" i="24" s="1"/>
  <c r="AC73" i="24" s="1"/>
  <c r="AD73" i="24"/>
  <c r="AN73" i="24"/>
  <c r="AJ73" i="24"/>
  <c r="AK73" i="24"/>
  <c r="AM73" i="24"/>
  <c r="AH73" i="24"/>
  <c r="D20" i="8"/>
  <c r="S15" i="8"/>
  <c r="G15" i="8"/>
  <c r="F15" i="8"/>
  <c r="S13" i="8"/>
  <c r="G13" i="8"/>
  <c r="F13" i="8"/>
  <c r="Y75" i="25"/>
  <c r="Y76" i="25" s="1"/>
  <c r="W76" i="25"/>
  <c r="L12" i="8"/>
  <c r="T12" i="8" s="1"/>
  <c r="I82" i="25"/>
  <c r="I77" i="25"/>
  <c r="L18" i="8"/>
  <c r="I85" i="25"/>
  <c r="I85" i="24"/>
  <c r="AQ72" i="24"/>
  <c r="AP65" i="22"/>
  <c r="AP56" i="23"/>
  <c r="AO56" i="26"/>
  <c r="AP56" i="26"/>
  <c r="BG56" i="20"/>
  <c r="E57" i="20" s="1"/>
  <c r="V57" i="20" s="1"/>
  <c r="BI56" i="20"/>
  <c r="G57" i="20" s="1"/>
  <c r="X57" i="20" s="1"/>
  <c r="BJ56" i="20"/>
  <c r="H57" i="20" s="1"/>
  <c r="Y57" i="20" s="1"/>
  <c r="BD56" i="20"/>
  <c r="BF56" i="20"/>
  <c r="D57" i="20" s="1"/>
  <c r="U57" i="20" s="1"/>
  <c r="BG56" i="23"/>
  <c r="E57" i="23" s="1"/>
  <c r="V57" i="23" s="1"/>
  <c r="BF56" i="23"/>
  <c r="D57" i="23" s="1"/>
  <c r="U57" i="23" s="1"/>
  <c r="BJ56" i="23"/>
  <c r="H57" i="23" s="1"/>
  <c r="Y57" i="23" s="1"/>
  <c r="BD56" i="23"/>
  <c r="BI56" i="23"/>
  <c r="G57" i="23" s="1"/>
  <c r="X57" i="23" s="1"/>
  <c r="BJ56" i="26"/>
  <c r="H57" i="26" s="1"/>
  <c r="Y57" i="26" s="1"/>
  <c r="BI56" i="26"/>
  <c r="BG56" i="26"/>
  <c r="BF56" i="26"/>
  <c r="BD56" i="26"/>
  <c r="AO56" i="23"/>
  <c r="AO65" i="22"/>
  <c r="E66" i="22"/>
  <c r="V66" i="22" s="1"/>
  <c r="H66" i="22"/>
  <c r="Y66" i="22" s="1"/>
  <c r="D66" i="22"/>
  <c r="U66" i="22" s="1"/>
  <c r="G66" i="22"/>
  <c r="X66" i="22" s="1"/>
  <c r="AP56" i="20"/>
  <c r="AO56" i="20"/>
  <c r="BG67" i="10"/>
  <c r="E68" i="10" s="1"/>
  <c r="V68" i="10" s="1"/>
  <c r="S66" i="10"/>
  <c r="I66" i="10"/>
  <c r="J66" i="10" s="1"/>
  <c r="K66" i="10" s="1"/>
  <c r="L66" i="10" s="1"/>
  <c r="BJ67" i="10"/>
  <c r="H68" i="10" s="1"/>
  <c r="Y68" i="10" s="1"/>
  <c r="BI67" i="10"/>
  <c r="G68" i="10" s="1"/>
  <c r="X68" i="10" s="1"/>
  <c r="BF67" i="10"/>
  <c r="D68" i="10" s="1"/>
  <c r="U68" i="10" s="1"/>
  <c r="AP73" i="24" l="1"/>
  <c r="AO73" i="24"/>
  <c r="Z74" i="24"/>
  <c r="AT74" i="24"/>
  <c r="B75" i="24" s="1"/>
  <c r="I75" i="24" s="1"/>
  <c r="D27" i="8" s="1"/>
  <c r="I79" i="25"/>
  <c r="L15" i="8" s="1"/>
  <c r="T15" i="8" s="1"/>
  <c r="L13" i="8"/>
  <c r="T13" i="8" s="1"/>
  <c r="T18" i="8"/>
  <c r="AQ65" i="22"/>
  <c r="AQ56" i="23"/>
  <c r="AQ56" i="26"/>
  <c r="BI66" i="22"/>
  <c r="G67" i="22" s="1"/>
  <c r="X67" i="22" s="1"/>
  <c r="BF66" i="22"/>
  <c r="D67" i="22" s="1"/>
  <c r="U67" i="22" s="1"/>
  <c r="B57" i="26"/>
  <c r="BL56" i="26"/>
  <c r="BJ66" i="22"/>
  <c r="H67" i="22" s="1"/>
  <c r="Y67" i="22" s="1"/>
  <c r="B57" i="20"/>
  <c r="BL56" i="20"/>
  <c r="B66" i="22"/>
  <c r="BL65" i="22"/>
  <c r="BG66" i="22"/>
  <c r="E67" i="22" s="1"/>
  <c r="V67" i="22" s="1"/>
  <c r="B57" i="23"/>
  <c r="BL56" i="23"/>
  <c r="AQ56" i="20"/>
  <c r="D69" i="10"/>
  <c r="U69" i="10" s="1"/>
  <c r="BD66" i="10"/>
  <c r="B67" i="10" s="1"/>
  <c r="Z66" i="10"/>
  <c r="E69" i="10"/>
  <c r="V69" i="10" s="1"/>
  <c r="G69" i="10"/>
  <c r="X69" i="10" s="1"/>
  <c r="H69" i="10"/>
  <c r="Y69" i="10" s="1"/>
  <c r="AT66" i="10" l="1"/>
  <c r="AV66" i="10"/>
  <c r="AY66" i="10"/>
  <c r="AZ66" i="10"/>
  <c r="AQ73" i="24"/>
  <c r="S27" i="8"/>
  <c r="BB74" i="24"/>
  <c r="AA74" i="24"/>
  <c r="AB74" i="24" s="1"/>
  <c r="AC74" i="24" s="1"/>
  <c r="I77" i="24" s="1"/>
  <c r="D29" i="8" s="1"/>
  <c r="AD74" i="24"/>
  <c r="BA74" i="24"/>
  <c r="AM74" i="24"/>
  <c r="AM75" i="24" s="1"/>
  <c r="AK74" i="24"/>
  <c r="AN74" i="24"/>
  <c r="AN75" i="24" s="1"/>
  <c r="AN77" i="24" s="1"/>
  <c r="AJ74" i="24"/>
  <c r="AJ75" i="24" s="1"/>
  <c r="Z75" i="24"/>
  <c r="I76" i="24" s="1"/>
  <c r="AH74" i="24"/>
  <c r="AH66" i="10"/>
  <c r="BG67" i="22"/>
  <c r="E68" i="22" s="1"/>
  <c r="V68" i="22" s="1"/>
  <c r="E69" i="22" s="1"/>
  <c r="V69" i="22" s="1"/>
  <c r="I57" i="23"/>
  <c r="J57" i="23" s="1"/>
  <c r="K57" i="23" s="1"/>
  <c r="L57" i="23" s="1"/>
  <c r="S57" i="23"/>
  <c r="BF67" i="22"/>
  <c r="D68" i="22" s="1"/>
  <c r="U68" i="22" s="1"/>
  <c r="BJ67" i="22"/>
  <c r="H68" i="22" s="1"/>
  <c r="Y68" i="22" s="1"/>
  <c r="I57" i="20"/>
  <c r="J57" i="20" s="1"/>
  <c r="K57" i="20" s="1"/>
  <c r="L57" i="20" s="1"/>
  <c r="S57" i="20"/>
  <c r="S66" i="22"/>
  <c r="I66" i="22"/>
  <c r="J66" i="22" s="1"/>
  <c r="K66" i="22" s="1"/>
  <c r="L66" i="22" s="1"/>
  <c r="S57" i="26"/>
  <c r="I57" i="26"/>
  <c r="J57" i="26" s="1"/>
  <c r="K57" i="26" s="1"/>
  <c r="L57" i="26" s="1"/>
  <c r="BI67" i="22"/>
  <c r="G68" i="22" s="1"/>
  <c r="X68" i="22" s="1"/>
  <c r="I67" i="10"/>
  <c r="J67" i="10" s="1"/>
  <c r="K67" i="10" s="1"/>
  <c r="L67" i="10" s="1"/>
  <c r="S67" i="10"/>
  <c r="AA66" i="10"/>
  <c r="AB66" i="10" s="1"/>
  <c r="AC66" i="10" s="1"/>
  <c r="AD66" i="10"/>
  <c r="BL66" i="10"/>
  <c r="BK66" i="10"/>
  <c r="BA66" i="10"/>
  <c r="AW66" i="10"/>
  <c r="AN66" i="10"/>
  <c r="AK66" i="10"/>
  <c r="AJ66" i="10"/>
  <c r="AM66" i="10"/>
  <c r="I82" i="24" l="1"/>
  <c r="I83" i="24"/>
  <c r="H69" i="22"/>
  <c r="Y69" i="22" s="1"/>
  <c r="G69" i="22"/>
  <c r="X69" i="22" s="1"/>
  <c r="D69" i="22"/>
  <c r="U69" i="22" s="1"/>
  <c r="AO74" i="24"/>
  <c r="AO75" i="24" s="1"/>
  <c r="AP74" i="24"/>
  <c r="AP75" i="24" s="1"/>
  <c r="I86" i="24" s="1"/>
  <c r="AH75" i="24"/>
  <c r="G29" i="8"/>
  <c r="S29" i="8"/>
  <c r="I87" i="24"/>
  <c r="D35" i="8"/>
  <c r="I78" i="24"/>
  <c r="D30" i="8" s="1"/>
  <c r="D28" i="8"/>
  <c r="AO66" i="10"/>
  <c r="Z57" i="26"/>
  <c r="AH57" i="26" s="1"/>
  <c r="Z66" i="22"/>
  <c r="BD66" i="22"/>
  <c r="B67" i="22" s="1"/>
  <c r="Z57" i="20"/>
  <c r="AT57" i="20" s="1"/>
  <c r="Z57" i="23"/>
  <c r="AH57" i="23" s="1"/>
  <c r="AP66" i="10"/>
  <c r="Z67" i="10"/>
  <c r="BD67" i="10"/>
  <c r="B68" i="10" s="1"/>
  <c r="AP77" i="24" l="1"/>
  <c r="AZ67" i="10"/>
  <c r="AV67" i="10"/>
  <c r="AY67" i="10"/>
  <c r="AH66" i="22"/>
  <c r="AV66" i="22"/>
  <c r="AZ66" i="22"/>
  <c r="AY66" i="22"/>
  <c r="D34" i="8"/>
  <c r="S34" i="8" s="1"/>
  <c r="AQ74" i="24"/>
  <c r="AQ75" i="24" s="1"/>
  <c r="S35" i="8"/>
  <c r="S28" i="8"/>
  <c r="S30" i="8"/>
  <c r="AQ66" i="10"/>
  <c r="AH57" i="20"/>
  <c r="S67" i="22"/>
  <c r="I67" i="22"/>
  <c r="J67" i="22" s="1"/>
  <c r="K67" i="22" s="1"/>
  <c r="L67" i="22" s="1"/>
  <c r="AT66" i="22"/>
  <c r="AD66" i="22"/>
  <c r="AA66" i="22"/>
  <c r="AB66" i="22" s="1"/>
  <c r="AC66" i="22" s="1"/>
  <c r="BK66" i="22"/>
  <c r="BA66" i="22"/>
  <c r="BL66" i="22"/>
  <c r="AW66" i="22"/>
  <c r="AK66" i="22"/>
  <c r="AM66" i="22"/>
  <c r="AN66" i="22"/>
  <c r="AJ66" i="22"/>
  <c r="AA57" i="20"/>
  <c r="AB57" i="20" s="1"/>
  <c r="AC57" i="20" s="1"/>
  <c r="BA57" i="20"/>
  <c r="BK57" i="20"/>
  <c r="AD57" i="20"/>
  <c r="AJ57" i="20"/>
  <c r="AZ57" i="20"/>
  <c r="AM57" i="20"/>
  <c r="AW57" i="20"/>
  <c r="AY57" i="20"/>
  <c r="AK57" i="20"/>
  <c r="AN57" i="20"/>
  <c r="AV57" i="20"/>
  <c r="AK57" i="23"/>
  <c r="AN57" i="23"/>
  <c r="AD57" i="23"/>
  <c r="BA57" i="23"/>
  <c r="BK57" i="23"/>
  <c r="AA57" i="23"/>
  <c r="AB57" i="23" s="1"/>
  <c r="AC57" i="23" s="1"/>
  <c r="AM57" i="23"/>
  <c r="AJ57" i="23"/>
  <c r="AT57" i="23"/>
  <c r="AT57" i="26"/>
  <c r="AW57" i="26"/>
  <c r="AM57" i="26"/>
  <c r="AA57" i="26"/>
  <c r="AB57" i="26" s="1"/>
  <c r="AC57" i="26" s="1"/>
  <c r="AV57" i="26"/>
  <c r="BA57" i="26"/>
  <c r="AJ57" i="26"/>
  <c r="AD57" i="26"/>
  <c r="AK57" i="26"/>
  <c r="AY57" i="26"/>
  <c r="BK57" i="26"/>
  <c r="AN57" i="26"/>
  <c r="AZ57" i="26"/>
  <c r="BA67" i="10"/>
  <c r="BK67" i="10"/>
  <c r="AD67" i="10"/>
  <c r="AA67" i="10"/>
  <c r="AB67" i="10" s="1"/>
  <c r="AC67" i="10" s="1"/>
  <c r="BL67" i="10"/>
  <c r="AJ67" i="10"/>
  <c r="AK67" i="10"/>
  <c r="AW67" i="10"/>
  <c r="AM67" i="10"/>
  <c r="AN67" i="10"/>
  <c r="S68" i="10"/>
  <c r="I68" i="10"/>
  <c r="J68" i="10" s="1"/>
  <c r="K68" i="10" s="1"/>
  <c r="L68" i="10" s="1"/>
  <c r="AH67" i="10"/>
  <c r="AT67" i="10"/>
  <c r="AP57" i="23" l="1"/>
  <c r="AP66" i="22"/>
  <c r="AO57" i="26"/>
  <c r="AP57" i="20"/>
  <c r="BI57" i="20"/>
  <c r="G58" i="20" s="1"/>
  <c r="X58" i="20" s="1"/>
  <c r="BJ57" i="20"/>
  <c r="H58" i="20" s="1"/>
  <c r="Y58" i="20" s="1"/>
  <c r="BF57" i="20"/>
  <c r="D58" i="20" s="1"/>
  <c r="U58" i="20" s="1"/>
  <c r="BG57" i="20"/>
  <c r="E58" i="20" s="1"/>
  <c r="V58" i="20" s="1"/>
  <c r="BD57" i="20"/>
  <c r="BD67" i="22"/>
  <c r="B68" i="22" s="1"/>
  <c r="Z67" i="22"/>
  <c r="BJ57" i="26"/>
  <c r="H58" i="26" s="1"/>
  <c r="Y58" i="26" s="1"/>
  <c r="BI57" i="26"/>
  <c r="BG57" i="26"/>
  <c r="BD57" i="26"/>
  <c r="BF57" i="26"/>
  <c r="AP57" i="26"/>
  <c r="AO66" i="22"/>
  <c r="AQ66" i="22" s="1"/>
  <c r="AO57" i="20"/>
  <c r="BG57" i="23"/>
  <c r="E58" i="23" s="1"/>
  <c r="V58" i="23" s="1"/>
  <c r="BF57" i="23"/>
  <c r="D58" i="23" s="1"/>
  <c r="U58" i="23" s="1"/>
  <c r="BD57" i="23"/>
  <c r="BJ57" i="23"/>
  <c r="H58" i="23" s="1"/>
  <c r="Y58" i="23" s="1"/>
  <c r="BI57" i="23"/>
  <c r="G58" i="23" s="1"/>
  <c r="X58" i="23" s="1"/>
  <c r="AO57" i="23"/>
  <c r="AQ57" i="23" s="1"/>
  <c r="AP67" i="10"/>
  <c r="AO67" i="10"/>
  <c r="Z68" i="10"/>
  <c r="B69" i="10"/>
  <c r="AT68" i="10" l="1"/>
  <c r="AV68" i="10"/>
  <c r="AY68" i="10"/>
  <c r="AH67" i="22"/>
  <c r="AY67" i="22"/>
  <c r="AV67" i="22"/>
  <c r="AZ67" i="22"/>
  <c r="AQ67" i="10"/>
  <c r="AQ57" i="20"/>
  <c r="AQ57" i="26"/>
  <c r="AT67" i="22"/>
  <c r="B58" i="26"/>
  <c r="BL57" i="26"/>
  <c r="B58" i="23"/>
  <c r="BL57" i="23"/>
  <c r="B58" i="20"/>
  <c r="BL57" i="20"/>
  <c r="BK67" i="22"/>
  <c r="AD67" i="22"/>
  <c r="BL67" i="22"/>
  <c r="BA67" i="22"/>
  <c r="AA67" i="22"/>
  <c r="AB67" i="22" s="1"/>
  <c r="AC67" i="22" s="1"/>
  <c r="AW67" i="22"/>
  <c r="AN67" i="22"/>
  <c r="AK67" i="22"/>
  <c r="AM67" i="22"/>
  <c r="AJ67" i="22"/>
  <c r="S68" i="22"/>
  <c r="I68" i="22"/>
  <c r="J68" i="22" s="1"/>
  <c r="K68" i="22" s="1"/>
  <c r="L68" i="22" s="1"/>
  <c r="BA68" i="10"/>
  <c r="AA68" i="10"/>
  <c r="AB68" i="10" s="1"/>
  <c r="AC68" i="10" s="1"/>
  <c r="BK68" i="10"/>
  <c r="BL68" i="10"/>
  <c r="AD68" i="10"/>
  <c r="AW68" i="10"/>
  <c r="AN68" i="10"/>
  <c r="AJ68" i="10"/>
  <c r="AK68" i="10"/>
  <c r="AM68" i="10"/>
  <c r="AH68" i="10"/>
  <c r="I69" i="10"/>
  <c r="J69" i="10" s="1"/>
  <c r="K69" i="10" s="1"/>
  <c r="L69" i="10" s="1"/>
  <c r="S69" i="10"/>
  <c r="I58" i="23" l="1"/>
  <c r="J58" i="23" s="1"/>
  <c r="K58" i="23" s="1"/>
  <c r="L58" i="23" s="1"/>
  <c r="S58" i="23"/>
  <c r="S58" i="20"/>
  <c r="I58" i="20"/>
  <c r="J58" i="20" s="1"/>
  <c r="K58" i="20" s="1"/>
  <c r="L58" i="20" s="1"/>
  <c r="B69" i="22"/>
  <c r="Z68" i="22"/>
  <c r="S58" i="26"/>
  <c r="I58" i="26"/>
  <c r="J58" i="26" s="1"/>
  <c r="K58" i="26" s="1"/>
  <c r="L58" i="26" s="1"/>
  <c r="AO67" i="22"/>
  <c r="AP67" i="22"/>
  <c r="AP68" i="10"/>
  <c r="AO68" i="10"/>
  <c r="Z69" i="10"/>
  <c r="AT69" i="10" s="1"/>
  <c r="AH69" i="10" l="1"/>
  <c r="AY69" i="10"/>
  <c r="AV69" i="10"/>
  <c r="AZ69" i="10"/>
  <c r="AT68" i="22"/>
  <c r="AZ68" i="22"/>
  <c r="AV68" i="22"/>
  <c r="AY68" i="22"/>
  <c r="AQ67" i="22"/>
  <c r="AH68" i="22"/>
  <c r="AQ68" i="10"/>
  <c r="AD68" i="22"/>
  <c r="BK68" i="22"/>
  <c r="AW68" i="22"/>
  <c r="AK68" i="22"/>
  <c r="AM68" i="22"/>
  <c r="BA68" i="22"/>
  <c r="BL68" i="22"/>
  <c r="AA68" i="22"/>
  <c r="AB68" i="22" s="1"/>
  <c r="AC68" i="22" s="1"/>
  <c r="AN68" i="22"/>
  <c r="AJ68" i="22"/>
  <c r="Z58" i="20"/>
  <c r="AH58" i="20" s="1"/>
  <c r="S69" i="22"/>
  <c r="I69" i="22"/>
  <c r="J69" i="22" s="1"/>
  <c r="K69" i="22" s="1"/>
  <c r="L69" i="22" s="1"/>
  <c r="Z58" i="23"/>
  <c r="Z58" i="26"/>
  <c r="AH58" i="26" s="1"/>
  <c r="AA69" i="10"/>
  <c r="AB69" i="10" s="1"/>
  <c r="AC69" i="10" s="1"/>
  <c r="BA69" i="10"/>
  <c r="BK69" i="10"/>
  <c r="AD69" i="10"/>
  <c r="AJ69" i="10"/>
  <c r="AW69" i="10"/>
  <c r="AN69" i="10"/>
  <c r="AK69" i="10"/>
  <c r="AM69" i="10"/>
  <c r="AP69" i="10" l="1"/>
  <c r="AA58" i="23"/>
  <c r="AB58" i="23" s="1"/>
  <c r="AC58" i="23" s="1"/>
  <c r="BK58" i="23"/>
  <c r="AK58" i="23"/>
  <c r="AD58" i="23"/>
  <c r="AJ58" i="23"/>
  <c r="BA58" i="23"/>
  <c r="AM58" i="23"/>
  <c r="AN58" i="23"/>
  <c r="AO68" i="22"/>
  <c r="AH58" i="23"/>
  <c r="AT58" i="23"/>
  <c r="AA58" i="20"/>
  <c r="AB58" i="20" s="1"/>
  <c r="AC58" i="20" s="1"/>
  <c r="BK58" i="20"/>
  <c r="BA58" i="20"/>
  <c r="AD58" i="20"/>
  <c r="AW58" i="20"/>
  <c r="AV58" i="20"/>
  <c r="AJ58" i="20"/>
  <c r="AM58" i="20"/>
  <c r="AY58" i="20"/>
  <c r="AN58" i="20"/>
  <c r="AZ58" i="20"/>
  <c r="AK58" i="20"/>
  <c r="AJ58" i="26"/>
  <c r="AD58" i="26"/>
  <c r="AW58" i="26"/>
  <c r="BK58" i="26"/>
  <c r="AK58" i="26"/>
  <c r="AV58" i="26"/>
  <c r="BA58" i="26"/>
  <c r="AA58" i="26"/>
  <c r="AB58" i="26" s="1"/>
  <c r="AC58" i="26" s="1"/>
  <c r="AY58" i="26"/>
  <c r="AM58" i="26"/>
  <c r="AN58" i="26"/>
  <c r="AZ58" i="26"/>
  <c r="Z69" i="22"/>
  <c r="AT58" i="26"/>
  <c r="AT58" i="20"/>
  <c r="AP68" i="22"/>
  <c r="AO69" i="10"/>
  <c r="AQ69" i="10" s="1"/>
  <c r="D70" i="10"/>
  <c r="U70" i="10" s="1"/>
  <c r="G70" i="10"/>
  <c r="X70" i="10" s="1"/>
  <c r="E70" i="10"/>
  <c r="V70" i="10" s="1"/>
  <c r="H70" i="10"/>
  <c r="Y70" i="10" s="1"/>
  <c r="AH69" i="22" l="1"/>
  <c r="AY69" i="22"/>
  <c r="AV69" i="22"/>
  <c r="AZ69" i="22"/>
  <c r="AO58" i="23"/>
  <c r="AP58" i="26"/>
  <c r="AQ68" i="22"/>
  <c r="AO58" i="26"/>
  <c r="AP58" i="23"/>
  <c r="AQ58" i="23" s="1"/>
  <c r="AT69" i="22"/>
  <c r="AJ69" i="22"/>
  <c r="AA69" i="22"/>
  <c r="AB69" i="22" s="1"/>
  <c r="AC69" i="22" s="1"/>
  <c r="AM69" i="22"/>
  <c r="BA69" i="22"/>
  <c r="AK69" i="22"/>
  <c r="AW69" i="22"/>
  <c r="AN69" i="22"/>
  <c r="AD69" i="22"/>
  <c r="BK69" i="22"/>
  <c r="BJ58" i="26"/>
  <c r="H59" i="26" s="1"/>
  <c r="Y59" i="26" s="1"/>
  <c r="BG58" i="26"/>
  <c r="BI58" i="26"/>
  <c r="BF58" i="26"/>
  <c r="BD58" i="26"/>
  <c r="BD58" i="20"/>
  <c r="BF58" i="20"/>
  <c r="D59" i="20" s="1"/>
  <c r="U59" i="20" s="1"/>
  <c r="BI58" i="20"/>
  <c r="G59" i="20" s="1"/>
  <c r="X59" i="20" s="1"/>
  <c r="BG58" i="20"/>
  <c r="E59" i="20" s="1"/>
  <c r="V59" i="20" s="1"/>
  <c r="BJ58" i="20"/>
  <c r="H59" i="20" s="1"/>
  <c r="Y59" i="20" s="1"/>
  <c r="BJ58" i="23"/>
  <c r="H59" i="23" s="1"/>
  <c r="Y59" i="23" s="1"/>
  <c r="BD58" i="23"/>
  <c r="BG58" i="23"/>
  <c r="E59" i="23" s="1"/>
  <c r="V59" i="23" s="1"/>
  <c r="BF58" i="23"/>
  <c r="D59" i="23" s="1"/>
  <c r="U59" i="23" s="1"/>
  <c r="BI58" i="23"/>
  <c r="G59" i="23" s="1"/>
  <c r="X59" i="23" s="1"/>
  <c r="AP58" i="20"/>
  <c r="AO58" i="20"/>
  <c r="BI70" i="10"/>
  <c r="G71" i="10" s="1"/>
  <c r="X71" i="10" s="1"/>
  <c r="BJ70" i="10"/>
  <c r="H71" i="10" s="1"/>
  <c r="Y71" i="10" s="1"/>
  <c r="BF70" i="10"/>
  <c r="D71" i="10" s="1"/>
  <c r="U71" i="10" s="1"/>
  <c r="BG70" i="10"/>
  <c r="E71" i="10" s="1"/>
  <c r="V71" i="10" s="1"/>
  <c r="B70" i="10"/>
  <c r="BL69" i="10"/>
  <c r="AQ58" i="26" l="1"/>
  <c r="AQ58" i="20"/>
  <c r="AP69" i="22"/>
  <c r="B59" i="23"/>
  <c r="BL58" i="23"/>
  <c r="AO69" i="22"/>
  <c r="B59" i="26"/>
  <c r="BL58" i="26"/>
  <c r="B59" i="20"/>
  <c r="BL58" i="20"/>
  <c r="E70" i="22"/>
  <c r="V70" i="22" s="1"/>
  <c r="H70" i="22"/>
  <c r="Y70" i="22" s="1"/>
  <c r="D70" i="22"/>
  <c r="U70" i="22" s="1"/>
  <c r="G70" i="22"/>
  <c r="X70" i="22" s="1"/>
  <c r="BF71" i="10"/>
  <c r="D72" i="10" s="1"/>
  <c r="U72" i="10" s="1"/>
  <c r="BI71" i="10"/>
  <c r="G72" i="10" s="1"/>
  <c r="X72" i="10" s="1"/>
  <c r="S70" i="10"/>
  <c r="I70" i="10"/>
  <c r="J70" i="10" s="1"/>
  <c r="K70" i="10" s="1"/>
  <c r="L70" i="10" s="1"/>
  <c r="BJ71" i="10"/>
  <c r="H72" i="10" s="1"/>
  <c r="Y72" i="10" s="1"/>
  <c r="BG71" i="10"/>
  <c r="E72" i="10" s="1"/>
  <c r="V72" i="10" s="1"/>
  <c r="AQ69" i="22" l="1"/>
  <c r="B70" i="22"/>
  <c r="BL69" i="22"/>
  <c r="BG70" i="22"/>
  <c r="E71" i="22" s="1"/>
  <c r="V71" i="22" s="1"/>
  <c r="I59" i="23"/>
  <c r="J59" i="23" s="1"/>
  <c r="K59" i="23" s="1"/>
  <c r="L59" i="23" s="1"/>
  <c r="S59" i="23"/>
  <c r="BJ70" i="22"/>
  <c r="H71" i="22" s="1"/>
  <c r="Y71" i="22" s="1"/>
  <c r="I59" i="20"/>
  <c r="J59" i="20" s="1"/>
  <c r="K59" i="20" s="1"/>
  <c r="L59" i="20" s="1"/>
  <c r="S59" i="20"/>
  <c r="BI70" i="22"/>
  <c r="G71" i="22" s="1"/>
  <c r="X71" i="22" s="1"/>
  <c r="I59" i="26"/>
  <c r="J59" i="26" s="1"/>
  <c r="K59" i="26" s="1"/>
  <c r="L59" i="26" s="1"/>
  <c r="S59" i="26"/>
  <c r="BF70" i="22"/>
  <c r="D71" i="22" s="1"/>
  <c r="U71" i="22" s="1"/>
  <c r="BJ72" i="10"/>
  <c r="H73" i="10" s="1"/>
  <c r="Y73" i="10" s="1"/>
  <c r="BI72" i="10"/>
  <c r="G73" i="10" s="1"/>
  <c r="X73" i="10" s="1"/>
  <c r="BF72" i="10"/>
  <c r="D73" i="10" s="1"/>
  <c r="U73" i="10" s="1"/>
  <c r="BG72" i="10"/>
  <c r="E73" i="10" s="1"/>
  <c r="V73" i="10" s="1"/>
  <c r="BD70" i="10"/>
  <c r="B71" i="10" s="1"/>
  <c r="Z70" i="10"/>
  <c r="AH70" i="10" l="1"/>
  <c r="AY70" i="10"/>
  <c r="AZ70" i="10"/>
  <c r="AV70" i="10"/>
  <c r="BI71" i="22"/>
  <c r="G72" i="22" s="1"/>
  <c r="X72" i="22" s="1"/>
  <c r="Z59" i="20"/>
  <c r="AH59" i="20" s="1"/>
  <c r="BG71" i="22"/>
  <c r="E72" i="22" s="1"/>
  <c r="V72" i="22" s="1"/>
  <c r="BG72" i="22" s="1"/>
  <c r="E73" i="22" s="1"/>
  <c r="V73" i="22" s="1"/>
  <c r="AT70" i="10"/>
  <c r="BF71" i="22"/>
  <c r="D72" i="22" s="1"/>
  <c r="U72" i="22" s="1"/>
  <c r="Z59" i="26"/>
  <c r="AT59" i="26" s="1"/>
  <c r="Z59" i="23"/>
  <c r="AH59" i="23" s="1"/>
  <c r="BJ71" i="22"/>
  <c r="H72" i="22" s="1"/>
  <c r="Y72" i="22" s="1"/>
  <c r="S70" i="22"/>
  <c r="I70" i="22"/>
  <c r="J70" i="22" s="1"/>
  <c r="K70" i="22" s="1"/>
  <c r="L70" i="22" s="1"/>
  <c r="BJ73" i="10"/>
  <c r="H74" i="10" s="1"/>
  <c r="Y74" i="10" s="1"/>
  <c r="BI73" i="10"/>
  <c r="G74" i="10" s="1"/>
  <c r="X74" i="10" s="1"/>
  <c r="I71" i="10"/>
  <c r="J71" i="10" s="1"/>
  <c r="K71" i="10" s="1"/>
  <c r="L71" i="10" s="1"/>
  <c r="S71" i="10"/>
  <c r="BF73" i="10"/>
  <c r="D74" i="10" s="1"/>
  <c r="U74" i="10" s="1"/>
  <c r="AD70" i="10"/>
  <c r="BL70" i="10"/>
  <c r="BK70" i="10"/>
  <c r="AA70" i="10"/>
  <c r="AB70" i="10" s="1"/>
  <c r="AC70" i="10" s="1"/>
  <c r="BA70" i="10"/>
  <c r="AJ70" i="10"/>
  <c r="AK70" i="10"/>
  <c r="AW70" i="10"/>
  <c r="AM70" i="10"/>
  <c r="AN70" i="10"/>
  <c r="BG73" i="10"/>
  <c r="E74" i="10" s="1"/>
  <c r="V74" i="10" s="1"/>
  <c r="BF72" i="22" l="1"/>
  <c r="D73" i="22" s="1"/>
  <c r="U73" i="22" s="1"/>
  <c r="BI72" i="22"/>
  <c r="G73" i="22" s="1"/>
  <c r="X73" i="22" s="1"/>
  <c r="BJ72" i="22"/>
  <c r="H73" i="22" s="1"/>
  <c r="Y73" i="22" s="1"/>
  <c r="BJ73" i="22" s="1"/>
  <c r="H74" i="22" s="1"/>
  <c r="Y74" i="22" s="1"/>
  <c r="G75" i="10"/>
  <c r="X75" i="10" s="1"/>
  <c r="H75" i="10"/>
  <c r="Y75" i="10" s="1"/>
  <c r="D75" i="10"/>
  <c r="U75" i="10" s="1"/>
  <c r="E75" i="10"/>
  <c r="V75" i="10" s="1"/>
  <c r="AT59" i="20"/>
  <c r="AP70" i="10"/>
  <c r="AT59" i="23"/>
  <c r="BD70" i="22"/>
  <c r="B71" i="22" s="1"/>
  <c r="Z70" i="22"/>
  <c r="AH59" i="26"/>
  <c r="BG73" i="22"/>
  <c r="E74" i="22" s="1"/>
  <c r="V74" i="22" s="1"/>
  <c r="AO70" i="10"/>
  <c r="AD59" i="20"/>
  <c r="BK59" i="20"/>
  <c r="AA59" i="20"/>
  <c r="AB59" i="20" s="1"/>
  <c r="AC59" i="20" s="1"/>
  <c r="BA59" i="20"/>
  <c r="AK59" i="20"/>
  <c r="AJ59" i="20"/>
  <c r="AW59" i="20"/>
  <c r="AM59" i="20"/>
  <c r="AY59" i="20"/>
  <c r="AZ59" i="20"/>
  <c r="AN59" i="20"/>
  <c r="AV59" i="20"/>
  <c r="BF73" i="22"/>
  <c r="D74" i="22" s="1"/>
  <c r="U74" i="22" s="1"/>
  <c r="AW59" i="26"/>
  <c r="BA59" i="26"/>
  <c r="AA59" i="26"/>
  <c r="AB59" i="26" s="1"/>
  <c r="AC59" i="26" s="1"/>
  <c r="AK59" i="26"/>
  <c r="AD59" i="26"/>
  <c r="AV59" i="26"/>
  <c r="AY59" i="26"/>
  <c r="BK59" i="26"/>
  <c r="AM59" i="26"/>
  <c r="AJ59" i="26"/>
  <c r="AN59" i="26"/>
  <c r="AZ59" i="26"/>
  <c r="AD59" i="23"/>
  <c r="AA59" i="23"/>
  <c r="AB59" i="23" s="1"/>
  <c r="AC59" i="23" s="1"/>
  <c r="AJ59" i="23"/>
  <c r="AN59" i="23"/>
  <c r="AM59" i="23"/>
  <c r="BA59" i="23"/>
  <c r="BK59" i="23"/>
  <c r="AK59" i="23"/>
  <c r="BI73" i="22"/>
  <c r="G74" i="22" s="1"/>
  <c r="X74" i="22" s="1"/>
  <c r="Z71" i="10"/>
  <c r="BD71" i="10"/>
  <c r="B72" i="10" s="1"/>
  <c r="X76" i="10" l="1"/>
  <c r="AH71" i="10"/>
  <c r="AY71" i="10"/>
  <c r="AV71" i="10"/>
  <c r="AZ71" i="10"/>
  <c r="Y76" i="10"/>
  <c r="AT70" i="22"/>
  <c r="AY70" i="22"/>
  <c r="AV70" i="22"/>
  <c r="AZ70" i="22"/>
  <c r="BF75" i="10"/>
  <c r="D76" i="10" s="1"/>
  <c r="BJ75" i="10"/>
  <c r="H76" i="10" s="1"/>
  <c r="U76" i="10"/>
  <c r="BI75" i="10"/>
  <c r="G76" i="10" s="1"/>
  <c r="BG75" i="10"/>
  <c r="E76" i="10" s="1"/>
  <c r="D75" i="22"/>
  <c r="U75" i="22" s="1"/>
  <c r="H75" i="22"/>
  <c r="Y75" i="22" s="1"/>
  <c r="G75" i="22"/>
  <c r="X75" i="22" s="1"/>
  <c r="E75" i="22"/>
  <c r="V75" i="22" s="1"/>
  <c r="V76" i="10"/>
  <c r="AQ70" i="10"/>
  <c r="AH70" i="22"/>
  <c r="AO59" i="26"/>
  <c r="AP59" i="20"/>
  <c r="AO59" i="23"/>
  <c r="BF59" i="20"/>
  <c r="D60" i="20" s="1"/>
  <c r="U60" i="20" s="1"/>
  <c r="BI59" i="20"/>
  <c r="G60" i="20" s="1"/>
  <c r="X60" i="20" s="1"/>
  <c r="BJ59" i="20"/>
  <c r="H60" i="20" s="1"/>
  <c r="Y60" i="20" s="1"/>
  <c r="BG59" i="20"/>
  <c r="E60" i="20" s="1"/>
  <c r="V60" i="20" s="1"/>
  <c r="BD59" i="20"/>
  <c r="AP59" i="26"/>
  <c r="AQ59" i="26" s="1"/>
  <c r="BD59" i="26"/>
  <c r="BJ59" i="26"/>
  <c r="H60" i="26" s="1"/>
  <c r="Y60" i="26" s="1"/>
  <c r="BI59" i="26"/>
  <c r="BG59" i="26"/>
  <c r="BF59" i="26"/>
  <c r="AO59" i="20"/>
  <c r="AA70" i="22"/>
  <c r="AB70" i="22" s="1"/>
  <c r="AC70" i="22" s="1"/>
  <c r="BA70" i="22"/>
  <c r="AD70" i="22"/>
  <c r="BL70" i="22"/>
  <c r="BK70" i="22"/>
  <c r="AM70" i="22"/>
  <c r="AN70" i="22"/>
  <c r="AJ70" i="22"/>
  <c r="AW70" i="22"/>
  <c r="AK70" i="22"/>
  <c r="I71" i="22"/>
  <c r="S71" i="22"/>
  <c r="BI59" i="23"/>
  <c r="G60" i="23" s="1"/>
  <c r="X60" i="23" s="1"/>
  <c r="BF59" i="23"/>
  <c r="D60" i="23" s="1"/>
  <c r="U60" i="23" s="1"/>
  <c r="BG59" i="23"/>
  <c r="E60" i="23" s="1"/>
  <c r="V60" i="23" s="1"/>
  <c r="BJ59" i="23"/>
  <c r="H60" i="23" s="1"/>
  <c r="Y60" i="23" s="1"/>
  <c r="BD59" i="23"/>
  <c r="AP59" i="23"/>
  <c r="AD71" i="10"/>
  <c r="BL71" i="10"/>
  <c r="AA71" i="10"/>
  <c r="AB71" i="10" s="1"/>
  <c r="AC71" i="10" s="1"/>
  <c r="BK71" i="10"/>
  <c r="BA71" i="10"/>
  <c r="AN71" i="10"/>
  <c r="AW71" i="10"/>
  <c r="AK71" i="10"/>
  <c r="AJ71" i="10"/>
  <c r="AM71" i="10"/>
  <c r="I72" i="10"/>
  <c r="J72" i="10" s="1"/>
  <c r="K72" i="10" s="1"/>
  <c r="L72" i="10" s="1"/>
  <c r="S72" i="10"/>
  <c r="AT71" i="10"/>
  <c r="BF75" i="22" l="1"/>
  <c r="D76" i="22" s="1"/>
  <c r="BI75" i="22"/>
  <c r="G76" i="22" s="1"/>
  <c r="BG75" i="22"/>
  <c r="E76" i="22" s="1"/>
  <c r="BJ75" i="22"/>
  <c r="H76" i="22" s="1"/>
  <c r="U76" i="22"/>
  <c r="X76" i="22"/>
  <c r="Y76" i="22"/>
  <c r="AQ59" i="20"/>
  <c r="AQ59" i="23"/>
  <c r="AP70" i="22"/>
  <c r="AO70" i="22"/>
  <c r="J71" i="22"/>
  <c r="K71" i="22" s="1"/>
  <c r="L71" i="22" s="1"/>
  <c r="B60" i="20"/>
  <c r="BL59" i="20"/>
  <c r="Z71" i="22"/>
  <c r="BD71" i="22"/>
  <c r="B72" i="22" s="1"/>
  <c r="B60" i="23"/>
  <c r="BL59" i="23"/>
  <c r="B60" i="26"/>
  <c r="BL59" i="26"/>
  <c r="AO71" i="10"/>
  <c r="AP71" i="10"/>
  <c r="Z72" i="10"/>
  <c r="BD72" i="10"/>
  <c r="B73" i="10" s="1"/>
  <c r="AH72" i="10" l="1"/>
  <c r="AV72" i="10"/>
  <c r="AZ72" i="10"/>
  <c r="AY72" i="10"/>
  <c r="AH71" i="22"/>
  <c r="AZ71" i="22"/>
  <c r="AY71" i="22"/>
  <c r="AV71" i="22"/>
  <c r="AQ70" i="22"/>
  <c r="V76" i="22"/>
  <c r="AQ71" i="10"/>
  <c r="AT71" i="22"/>
  <c r="S60" i="26"/>
  <c r="I60" i="26"/>
  <c r="J60" i="26" s="1"/>
  <c r="K60" i="26" s="1"/>
  <c r="L60" i="26" s="1"/>
  <c r="I60" i="23"/>
  <c r="J60" i="23" s="1"/>
  <c r="K60" i="23" s="1"/>
  <c r="L60" i="23" s="1"/>
  <c r="S60" i="23"/>
  <c r="I60" i="20"/>
  <c r="J60" i="20" s="1"/>
  <c r="K60" i="20" s="1"/>
  <c r="L60" i="20" s="1"/>
  <c r="S60" i="20"/>
  <c r="I72" i="22"/>
  <c r="S72" i="22"/>
  <c r="AA71" i="22"/>
  <c r="AB71" i="22" s="1"/>
  <c r="AC71" i="22" s="1"/>
  <c r="BL71" i="22"/>
  <c r="BK71" i="22"/>
  <c r="AD71" i="22"/>
  <c r="BA71" i="22"/>
  <c r="AK71" i="22"/>
  <c r="AM71" i="22"/>
  <c r="AJ71" i="22"/>
  <c r="AN71" i="22"/>
  <c r="AW71" i="22"/>
  <c r="AD72" i="10"/>
  <c r="BK72" i="10"/>
  <c r="BL72" i="10"/>
  <c r="BA72" i="10"/>
  <c r="AA72" i="10"/>
  <c r="AB72" i="10" s="1"/>
  <c r="AC72" i="10" s="1"/>
  <c r="AM72" i="10"/>
  <c r="AK72" i="10"/>
  <c r="AJ72" i="10"/>
  <c r="AN72" i="10"/>
  <c r="AW72" i="10"/>
  <c r="AT72" i="10"/>
  <c r="S73" i="10"/>
  <c r="I73" i="10"/>
  <c r="AP72" i="10" l="1"/>
  <c r="BD72" i="22"/>
  <c r="B73" i="22" s="1"/>
  <c r="Z72" i="22"/>
  <c r="Z60" i="20"/>
  <c r="J72" i="22"/>
  <c r="K72" i="22" s="1"/>
  <c r="L72" i="22" s="1"/>
  <c r="Z60" i="23"/>
  <c r="AH60" i="23" s="1"/>
  <c r="AO71" i="22"/>
  <c r="AO72" i="10"/>
  <c r="AQ72" i="10" s="1"/>
  <c r="AP71" i="22"/>
  <c r="Z60" i="26"/>
  <c r="BD73" i="10"/>
  <c r="B74" i="10" s="1"/>
  <c r="Z73" i="10"/>
  <c r="J73" i="10"/>
  <c r="K73" i="10" s="1"/>
  <c r="L73" i="10" s="1"/>
  <c r="AT73" i="10" l="1"/>
  <c r="AV73" i="10"/>
  <c r="AZ73" i="10"/>
  <c r="AY73" i="10"/>
  <c r="AY72" i="22"/>
  <c r="AV72" i="22"/>
  <c r="AZ72" i="22"/>
  <c r="I74" i="10"/>
  <c r="J74" i="10" s="1"/>
  <c r="K74" i="10" s="1"/>
  <c r="L74" i="10" s="1"/>
  <c r="S74" i="10"/>
  <c r="AT60" i="23"/>
  <c r="AQ71" i="22"/>
  <c r="BK60" i="20"/>
  <c r="BA60" i="20"/>
  <c r="AA60" i="20"/>
  <c r="AB60" i="20" s="1"/>
  <c r="AC60" i="20" s="1"/>
  <c r="AD60" i="20"/>
  <c r="AK60" i="20"/>
  <c r="AN60" i="20"/>
  <c r="AV60" i="20"/>
  <c r="AY60" i="20"/>
  <c r="AW60" i="20"/>
  <c r="AZ60" i="20"/>
  <c r="AJ60" i="20"/>
  <c r="AM60" i="20"/>
  <c r="AT60" i="20"/>
  <c r="AD72" i="22"/>
  <c r="AJ72" i="22"/>
  <c r="AM72" i="22"/>
  <c r="AA72" i="22"/>
  <c r="AB72" i="22" s="1"/>
  <c r="AC72" i="22" s="1"/>
  <c r="BA72" i="22"/>
  <c r="AW72" i="22"/>
  <c r="BL72" i="22"/>
  <c r="BK72" i="22"/>
  <c r="AN72" i="22"/>
  <c r="AK72" i="22"/>
  <c r="BK60" i="26"/>
  <c r="AK60" i="26"/>
  <c r="AW60" i="26"/>
  <c r="AM60" i="26"/>
  <c r="AA60" i="26"/>
  <c r="AB60" i="26" s="1"/>
  <c r="AC60" i="26" s="1"/>
  <c r="BA60" i="26"/>
  <c r="AV60" i="26"/>
  <c r="AD60" i="26"/>
  <c r="AJ60" i="26"/>
  <c r="AY60" i="26"/>
  <c r="AN60" i="26"/>
  <c r="AZ60" i="26"/>
  <c r="AH60" i="20"/>
  <c r="S73" i="22"/>
  <c r="I73" i="22"/>
  <c r="AH60" i="26"/>
  <c r="AT72" i="22"/>
  <c r="AA60" i="23"/>
  <c r="AB60" i="23" s="1"/>
  <c r="AC60" i="23" s="1"/>
  <c r="AJ60" i="23"/>
  <c r="AD60" i="23"/>
  <c r="BA60" i="23"/>
  <c r="BK60" i="23"/>
  <c r="AK60" i="23"/>
  <c r="AN60" i="23"/>
  <c r="AM60" i="23"/>
  <c r="AT60" i="26"/>
  <c r="AH72" i="22"/>
  <c r="AD73" i="10"/>
  <c r="AA73" i="10"/>
  <c r="BA73" i="10"/>
  <c r="BK73" i="10"/>
  <c r="BL73" i="10"/>
  <c r="AM73" i="10"/>
  <c r="AW73" i="10"/>
  <c r="AN73" i="10"/>
  <c r="AJ73" i="10"/>
  <c r="AK73" i="10"/>
  <c r="AH73" i="10"/>
  <c r="B75" i="10" l="1"/>
  <c r="Z74" i="10"/>
  <c r="AB73" i="10"/>
  <c r="AC73" i="10" s="1"/>
  <c r="AP60" i="23"/>
  <c r="AO60" i="23"/>
  <c r="AP60" i="26"/>
  <c r="AO60" i="26"/>
  <c r="BD60" i="26"/>
  <c r="BF60" i="26"/>
  <c r="BG60" i="26"/>
  <c r="BJ60" i="26"/>
  <c r="H61" i="26" s="1"/>
  <c r="Y61" i="26" s="1"/>
  <c r="BI60" i="26"/>
  <c r="AO60" i="20"/>
  <c r="AO72" i="22"/>
  <c r="J73" i="22"/>
  <c r="K73" i="22" s="1"/>
  <c r="L73" i="22" s="1"/>
  <c r="Z73" i="22"/>
  <c r="BD73" i="22"/>
  <c r="B74" i="22" s="1"/>
  <c r="AP60" i="20"/>
  <c r="BF60" i="20"/>
  <c r="D61" i="20" s="1"/>
  <c r="U61" i="20" s="1"/>
  <c r="BJ60" i="20"/>
  <c r="H61" i="20" s="1"/>
  <c r="Y61" i="20" s="1"/>
  <c r="BI60" i="20"/>
  <c r="G61" i="20" s="1"/>
  <c r="X61" i="20" s="1"/>
  <c r="BG60" i="20"/>
  <c r="E61" i="20" s="1"/>
  <c r="V61" i="20" s="1"/>
  <c r="BD60" i="20"/>
  <c r="BG60" i="23"/>
  <c r="E61" i="23" s="1"/>
  <c r="V61" i="23" s="1"/>
  <c r="BD60" i="23"/>
  <c r="BJ60" i="23"/>
  <c r="H61" i="23" s="1"/>
  <c r="Y61" i="23" s="1"/>
  <c r="BI60" i="23"/>
  <c r="G61" i="23" s="1"/>
  <c r="X61" i="23" s="1"/>
  <c r="BF60" i="23"/>
  <c r="D61" i="23" s="1"/>
  <c r="U61" i="23" s="1"/>
  <c r="AP72" i="22"/>
  <c r="AO73" i="10"/>
  <c r="AP73" i="10"/>
  <c r="AH74" i="10" l="1"/>
  <c r="AY74" i="10"/>
  <c r="AV74" i="10"/>
  <c r="AY73" i="22"/>
  <c r="AZ73" i="22"/>
  <c r="AV73" i="22"/>
  <c r="AM74" i="10"/>
  <c r="BA74" i="10"/>
  <c r="BK74" i="10"/>
  <c r="BL74" i="10"/>
  <c r="AD74" i="10"/>
  <c r="AA74" i="10"/>
  <c r="AB74" i="10" s="1"/>
  <c r="AC74" i="10" s="1"/>
  <c r="AN74" i="10"/>
  <c r="AW74" i="10"/>
  <c r="AJ74" i="10"/>
  <c r="AK74" i="10"/>
  <c r="S75" i="10"/>
  <c r="I75" i="10"/>
  <c r="J75" i="10" s="1"/>
  <c r="K75" i="10" s="1"/>
  <c r="L75" i="10" s="1"/>
  <c r="I74" i="22"/>
  <c r="J74" i="22" s="1"/>
  <c r="K74" i="22" s="1"/>
  <c r="L74" i="22" s="1"/>
  <c r="S74" i="22"/>
  <c r="AQ60" i="23"/>
  <c r="AQ60" i="20"/>
  <c r="BL73" i="22"/>
  <c r="AK73" i="22"/>
  <c r="AN73" i="22"/>
  <c r="BK73" i="22"/>
  <c r="AA73" i="22"/>
  <c r="AB73" i="22" s="1"/>
  <c r="AC73" i="22" s="1"/>
  <c r="AM73" i="22"/>
  <c r="BA73" i="22"/>
  <c r="AW73" i="22"/>
  <c r="AD73" i="22"/>
  <c r="AJ73" i="22"/>
  <c r="B61" i="26"/>
  <c r="BL60" i="26"/>
  <c r="AQ72" i="22"/>
  <c r="B61" i="20"/>
  <c r="BL60" i="20"/>
  <c r="B61" i="23"/>
  <c r="BL60" i="23"/>
  <c r="AT73" i="22"/>
  <c r="AQ60" i="26"/>
  <c r="AH73" i="22"/>
  <c r="AQ73" i="10"/>
  <c r="AP74" i="10" l="1"/>
  <c r="AO74" i="10"/>
  <c r="AQ74" i="10" s="1"/>
  <c r="BD75" i="10"/>
  <c r="B76" i="10" s="1"/>
  <c r="I76" i="10" s="1"/>
  <c r="Z75" i="10"/>
  <c r="I86" i="10"/>
  <c r="S76" i="10"/>
  <c r="Z76" i="10" s="1"/>
  <c r="I77" i="10" s="1"/>
  <c r="I79" i="10" s="1"/>
  <c r="Z74" i="22"/>
  <c r="I61" i="20"/>
  <c r="J61" i="20" s="1"/>
  <c r="K61" i="20" s="1"/>
  <c r="L61" i="20" s="1"/>
  <c r="S61" i="20"/>
  <c r="S61" i="26"/>
  <c r="I61" i="26"/>
  <c r="J61" i="26" s="1"/>
  <c r="K61" i="26" s="1"/>
  <c r="L61" i="26" s="1"/>
  <c r="I61" i="23"/>
  <c r="J61" i="23" s="1"/>
  <c r="K61" i="23" s="1"/>
  <c r="L61" i="23" s="1"/>
  <c r="S61" i="23"/>
  <c r="AP73" i="22"/>
  <c r="AO73" i="22"/>
  <c r="AT75" i="10" l="1"/>
  <c r="AZ75" i="10"/>
  <c r="AV75" i="10"/>
  <c r="AY75" i="10"/>
  <c r="AH75" i="10"/>
  <c r="AY74" i="22"/>
  <c r="AV74" i="22"/>
  <c r="AD75" i="10"/>
  <c r="BK75" i="10"/>
  <c r="BL75" i="10"/>
  <c r="AA75" i="10"/>
  <c r="AB75" i="10" s="1"/>
  <c r="AC75" i="10" s="1"/>
  <c r="I78" i="10" s="1"/>
  <c r="BA75" i="10"/>
  <c r="AM75" i="10"/>
  <c r="AM76" i="10" s="1"/>
  <c r="AN75" i="10"/>
  <c r="AN76" i="10" s="1"/>
  <c r="AN78" i="10" s="1"/>
  <c r="AK75" i="10"/>
  <c r="AJ75" i="10"/>
  <c r="AJ76" i="10" s="1"/>
  <c r="AW75" i="10"/>
  <c r="I83" i="10"/>
  <c r="BK74" i="22"/>
  <c r="BA74" i="22"/>
  <c r="AD74" i="22"/>
  <c r="AA74" i="22"/>
  <c r="AB74" i="22" s="1"/>
  <c r="AC74" i="22" s="1"/>
  <c r="AW74" i="22"/>
  <c r="AM74" i="22"/>
  <c r="AN74" i="22"/>
  <c r="AJ74" i="22"/>
  <c r="AK74" i="22"/>
  <c r="AT74" i="22"/>
  <c r="AH74" i="22"/>
  <c r="BL74" i="22"/>
  <c r="B75" i="22"/>
  <c r="AH76" i="10"/>
  <c r="AQ73" i="22"/>
  <c r="Z61" i="26"/>
  <c r="AT61" i="26" s="1"/>
  <c r="Z61" i="20"/>
  <c r="AH61" i="20" s="1"/>
  <c r="Z61" i="23"/>
  <c r="AT61" i="23" s="1"/>
  <c r="AP75" i="10" l="1"/>
  <c r="I84" i="10"/>
  <c r="AO75" i="10"/>
  <c r="AO76" i="10" s="1"/>
  <c r="S75" i="22"/>
  <c r="I75" i="22"/>
  <c r="AP74" i="22"/>
  <c r="AO74" i="22"/>
  <c r="AH61" i="26"/>
  <c r="AT61" i="20"/>
  <c r="AK61" i="23"/>
  <c r="BK61" i="23"/>
  <c r="AM61" i="23"/>
  <c r="AJ61" i="23"/>
  <c r="AA61" i="23"/>
  <c r="AB61" i="23" s="1"/>
  <c r="AC61" i="23" s="1"/>
  <c r="BA61" i="23"/>
  <c r="AD61" i="23"/>
  <c r="AN61" i="23"/>
  <c r="BA61" i="20"/>
  <c r="AD61" i="20"/>
  <c r="AA61" i="20"/>
  <c r="AB61" i="20" s="1"/>
  <c r="AC61" i="20" s="1"/>
  <c r="BK61" i="20"/>
  <c r="AV61" i="20"/>
  <c r="AM61" i="20"/>
  <c r="AZ61" i="20"/>
  <c r="AY61" i="20"/>
  <c r="AN61" i="20"/>
  <c r="AW61" i="20"/>
  <c r="AK61" i="20"/>
  <c r="AJ61" i="20"/>
  <c r="AH61" i="23"/>
  <c r="BK61" i="26"/>
  <c r="AW61" i="26"/>
  <c r="AJ61" i="26"/>
  <c r="AY61" i="26"/>
  <c r="AK61" i="26"/>
  <c r="AA61" i="26"/>
  <c r="AB61" i="26" s="1"/>
  <c r="AC61" i="26" s="1"/>
  <c r="BA61" i="26"/>
  <c r="AV61" i="26"/>
  <c r="AM61" i="26"/>
  <c r="AD61" i="26"/>
  <c r="AN61" i="26"/>
  <c r="AZ61" i="26"/>
  <c r="AQ74" i="22" l="1"/>
  <c r="AQ75" i="10"/>
  <c r="AQ76" i="10" s="1"/>
  <c r="AP76" i="10"/>
  <c r="AP78" i="10" s="1"/>
  <c r="J75" i="22"/>
  <c r="K75" i="22" s="1"/>
  <c r="L75" i="22" s="1"/>
  <c r="I86" i="22"/>
  <c r="Z75" i="22"/>
  <c r="BD75" i="22"/>
  <c r="B76" i="22" s="1"/>
  <c r="I76" i="22" s="1"/>
  <c r="S76" i="22"/>
  <c r="Z76" i="22" s="1"/>
  <c r="I77" i="22" s="1"/>
  <c r="B28" i="8" s="1"/>
  <c r="Q28" i="8" s="1"/>
  <c r="AP61" i="20"/>
  <c r="AO61" i="26"/>
  <c r="AO61" i="20"/>
  <c r="AO61" i="23"/>
  <c r="BJ61" i="26"/>
  <c r="H62" i="26" s="1"/>
  <c r="Y62" i="26" s="1"/>
  <c r="BG61" i="26"/>
  <c r="BD61" i="26"/>
  <c r="BF61" i="26"/>
  <c r="BI61" i="26"/>
  <c r="AP61" i="26"/>
  <c r="AP61" i="23"/>
  <c r="BI61" i="20"/>
  <c r="G62" i="20" s="1"/>
  <c r="X62" i="20" s="1"/>
  <c r="BG61" i="20"/>
  <c r="E62" i="20" s="1"/>
  <c r="V62" i="20" s="1"/>
  <c r="BJ61" i="20"/>
  <c r="H62" i="20" s="1"/>
  <c r="Y62" i="20" s="1"/>
  <c r="BF61" i="20"/>
  <c r="D62" i="20" s="1"/>
  <c r="U62" i="20" s="1"/>
  <c r="BD61" i="20"/>
  <c r="BG61" i="23"/>
  <c r="E62" i="23" s="1"/>
  <c r="V62" i="23" s="1"/>
  <c r="BJ61" i="23"/>
  <c r="H62" i="23" s="1"/>
  <c r="Y62" i="23" s="1"/>
  <c r="BI61" i="23"/>
  <c r="G62" i="23" s="1"/>
  <c r="X62" i="23" s="1"/>
  <c r="BD61" i="23"/>
  <c r="BF61" i="23"/>
  <c r="D62" i="23" s="1"/>
  <c r="U62" i="23" s="1"/>
  <c r="AY75" i="22" l="1"/>
  <c r="AV75" i="22"/>
  <c r="AZ75" i="22"/>
  <c r="I79" i="22"/>
  <c r="B30" i="8" s="1"/>
  <c r="Q30" i="8" s="1"/>
  <c r="B27" i="8"/>
  <c r="I83" i="22"/>
  <c r="AT75" i="22"/>
  <c r="BL75" i="22"/>
  <c r="AD75" i="22"/>
  <c r="AA75" i="22"/>
  <c r="AB75" i="22" s="1"/>
  <c r="AC75" i="22" s="1"/>
  <c r="I78" i="22" s="1"/>
  <c r="B29" i="8" s="1"/>
  <c r="Q29" i="8" s="1"/>
  <c r="BA75" i="22"/>
  <c r="BK75" i="22"/>
  <c r="AM75" i="22"/>
  <c r="AM76" i="22" s="1"/>
  <c r="AW75" i="22"/>
  <c r="AJ75" i="22"/>
  <c r="AJ76" i="22" s="1"/>
  <c r="AN75" i="22"/>
  <c r="AN76" i="22" s="1"/>
  <c r="B35" i="8" s="1"/>
  <c r="AK75" i="22"/>
  <c r="AH75" i="22"/>
  <c r="AQ61" i="20"/>
  <c r="F28" i="8"/>
  <c r="C36" i="8"/>
  <c r="AQ61" i="26"/>
  <c r="AQ61" i="23"/>
  <c r="B62" i="20"/>
  <c r="BL61" i="20"/>
  <c r="B62" i="26"/>
  <c r="BL61" i="26"/>
  <c r="B62" i="23"/>
  <c r="BL61" i="23"/>
  <c r="AN78" i="22" l="1"/>
  <c r="I88" i="22"/>
  <c r="F30" i="8"/>
  <c r="Q35" i="8"/>
  <c r="AO75" i="22"/>
  <c r="AP75" i="22"/>
  <c r="AP76" i="22" s="1"/>
  <c r="AH76" i="22"/>
  <c r="J27" i="8"/>
  <c r="Q27" i="8"/>
  <c r="F27" i="8"/>
  <c r="F29" i="8"/>
  <c r="H29" i="8"/>
  <c r="I84" i="22"/>
  <c r="S62" i="20"/>
  <c r="I62" i="20"/>
  <c r="J62" i="20" s="1"/>
  <c r="K62" i="20" s="1"/>
  <c r="L62" i="20" s="1"/>
  <c r="S62" i="26"/>
  <c r="I62" i="26"/>
  <c r="J62" i="26" s="1"/>
  <c r="K62" i="26" s="1"/>
  <c r="L62" i="26" s="1"/>
  <c r="I62" i="23"/>
  <c r="J62" i="23" s="1"/>
  <c r="K62" i="23" s="1"/>
  <c r="L62" i="23" s="1"/>
  <c r="S62" i="23"/>
  <c r="B34" i="8" l="1"/>
  <c r="I87" i="22"/>
  <c r="AP78" i="22"/>
  <c r="AQ75" i="22"/>
  <c r="AQ76" i="22" s="1"/>
  <c r="AO76" i="22"/>
  <c r="Z62" i="23"/>
  <c r="AT62" i="23" s="1"/>
  <c r="Z62" i="26"/>
  <c r="AT62" i="26" s="1"/>
  <c r="Z62" i="20"/>
  <c r="AT62" i="20" s="1"/>
  <c r="Q34" i="8" l="1"/>
  <c r="B36" i="8"/>
  <c r="AH62" i="20"/>
  <c r="BK62" i="20"/>
  <c r="AA62" i="20"/>
  <c r="AB62" i="20" s="1"/>
  <c r="AC62" i="20" s="1"/>
  <c r="AD62" i="20"/>
  <c r="BA62" i="20"/>
  <c r="AV62" i="20"/>
  <c r="AK62" i="20"/>
  <c r="AY62" i="20"/>
  <c r="AW62" i="20"/>
  <c r="AN62" i="20"/>
  <c r="AM62" i="20"/>
  <c r="AZ62" i="20"/>
  <c r="AJ62" i="20"/>
  <c r="AJ62" i="26"/>
  <c r="AM62" i="26"/>
  <c r="AA62" i="26"/>
  <c r="AB62" i="26" s="1"/>
  <c r="AC62" i="26" s="1"/>
  <c r="BA62" i="26"/>
  <c r="BK62" i="26"/>
  <c r="AY62" i="26"/>
  <c r="AW62" i="26"/>
  <c r="AK62" i="26"/>
  <c r="AD62" i="26"/>
  <c r="AV62" i="26"/>
  <c r="AZ62" i="26"/>
  <c r="AN62" i="26"/>
  <c r="AH62" i="26"/>
  <c r="AH62" i="23"/>
  <c r="BK62" i="23"/>
  <c r="AD62" i="23"/>
  <c r="AJ62" i="23"/>
  <c r="BA62" i="23"/>
  <c r="AA62" i="23"/>
  <c r="AB62" i="23" s="1"/>
  <c r="AC62" i="23" s="1"/>
  <c r="AM62" i="23"/>
  <c r="AN62" i="23"/>
  <c r="AK62" i="23"/>
  <c r="AP62" i="20" l="1"/>
  <c r="AO62" i="23"/>
  <c r="AP62" i="26"/>
  <c r="BF62" i="23"/>
  <c r="D63" i="23" s="1"/>
  <c r="U63" i="23" s="1"/>
  <c r="BG62" i="23"/>
  <c r="E63" i="23" s="1"/>
  <c r="V63" i="23" s="1"/>
  <c r="BI62" i="23"/>
  <c r="G63" i="23" s="1"/>
  <c r="X63" i="23" s="1"/>
  <c r="BD62" i="23"/>
  <c r="BJ62" i="23"/>
  <c r="H63" i="23" s="1"/>
  <c r="Y63" i="23" s="1"/>
  <c r="AP62" i="23"/>
  <c r="AO62" i="20"/>
  <c r="AQ62" i="20" s="1"/>
  <c r="AO62" i="26"/>
  <c r="BI62" i="26"/>
  <c r="BG62" i="26"/>
  <c r="BJ62" i="26"/>
  <c r="H63" i="26" s="1"/>
  <c r="Y63" i="26" s="1"/>
  <c r="BD62" i="26"/>
  <c r="BF62" i="26"/>
  <c r="BI62" i="20"/>
  <c r="G63" i="20" s="1"/>
  <c r="X63" i="20" s="1"/>
  <c r="BF62" i="20"/>
  <c r="D63" i="20" s="1"/>
  <c r="U63" i="20" s="1"/>
  <c r="BG62" i="20"/>
  <c r="E63" i="20" s="1"/>
  <c r="V63" i="20" s="1"/>
  <c r="BD62" i="20"/>
  <c r="BJ62" i="20"/>
  <c r="H63" i="20" s="1"/>
  <c r="Y63" i="20" s="1"/>
  <c r="AQ62" i="23" l="1"/>
  <c r="AQ62" i="26"/>
  <c r="B63" i="23"/>
  <c r="BL62" i="23"/>
  <c r="B63" i="26"/>
  <c r="BL62" i="26"/>
  <c r="B63" i="20"/>
  <c r="BL62" i="20"/>
  <c r="I63" i="23" l="1"/>
  <c r="J63" i="23" s="1"/>
  <c r="S63" i="23"/>
  <c r="S63" i="26"/>
  <c r="I63" i="26"/>
  <c r="J63" i="26" s="1"/>
  <c r="S63" i="20"/>
  <c r="I63" i="20"/>
  <c r="J63" i="20" s="1"/>
  <c r="K63" i="20" l="1"/>
  <c r="I80" i="20"/>
  <c r="I31" i="8" s="1"/>
  <c r="Z63" i="26"/>
  <c r="AT63" i="26" s="1"/>
  <c r="Z63" i="20"/>
  <c r="AH63" i="20" s="1"/>
  <c r="Z63" i="23"/>
  <c r="AH63" i="23" s="1"/>
  <c r="I80" i="26"/>
  <c r="L31" i="8" s="1"/>
  <c r="T31" i="8" s="1"/>
  <c r="K63" i="26"/>
  <c r="K63" i="23"/>
  <c r="I80" i="23"/>
  <c r="AH63" i="26" l="1"/>
  <c r="AT63" i="20"/>
  <c r="AT63" i="23"/>
  <c r="I81" i="26"/>
  <c r="L32" i="8" s="1"/>
  <c r="T32" i="8" s="1"/>
  <c r="L63" i="26"/>
  <c r="AM63" i="26"/>
  <c r="AW63" i="26"/>
  <c r="BA63" i="26"/>
  <c r="AD63" i="26"/>
  <c r="BK63" i="26"/>
  <c r="AK63" i="26"/>
  <c r="AV63" i="26"/>
  <c r="AY63" i="26"/>
  <c r="AA63" i="26"/>
  <c r="AB63" i="26" s="1"/>
  <c r="AC63" i="26" s="1"/>
  <c r="AJ63" i="26"/>
  <c r="AP63" i="26" s="1"/>
  <c r="AZ63" i="26"/>
  <c r="AN63" i="26"/>
  <c r="I81" i="23"/>
  <c r="L63" i="23"/>
  <c r="BA63" i="20"/>
  <c r="AA63" i="20"/>
  <c r="AB63" i="20" s="1"/>
  <c r="AC63" i="20" s="1"/>
  <c r="BK63" i="20"/>
  <c r="AD63" i="20"/>
  <c r="AM63" i="20"/>
  <c r="AW63" i="20"/>
  <c r="AK63" i="20"/>
  <c r="AZ63" i="20"/>
  <c r="AJ63" i="20"/>
  <c r="AN63" i="20"/>
  <c r="AV63" i="20"/>
  <c r="AY63" i="20"/>
  <c r="AD63" i="23"/>
  <c r="AM63" i="23"/>
  <c r="AK63" i="23"/>
  <c r="BA63" i="23"/>
  <c r="BK63" i="23"/>
  <c r="AA63" i="23"/>
  <c r="AB63" i="23" s="1"/>
  <c r="AC63" i="23" s="1"/>
  <c r="AJ63" i="23"/>
  <c r="AN63" i="23"/>
  <c r="I81" i="20"/>
  <c r="I32" i="8" s="1"/>
  <c r="L63" i="20"/>
  <c r="AP63" i="23" l="1"/>
  <c r="AO63" i="23"/>
  <c r="BG63" i="26"/>
  <c r="BD63" i="26"/>
  <c r="BF63" i="26"/>
  <c r="BJ63" i="26"/>
  <c r="H64" i="26" s="1"/>
  <c r="Y64" i="26" s="1"/>
  <c r="BI63" i="26"/>
  <c r="BD63" i="23"/>
  <c r="BF63" i="23"/>
  <c r="D64" i="23" s="1"/>
  <c r="U64" i="23" s="1"/>
  <c r="BJ63" i="23"/>
  <c r="H64" i="23" s="1"/>
  <c r="Y64" i="23" s="1"/>
  <c r="BG63" i="23"/>
  <c r="E64" i="23" s="1"/>
  <c r="V64" i="23" s="1"/>
  <c r="BI63" i="23"/>
  <c r="G64" i="23" s="1"/>
  <c r="X64" i="23" s="1"/>
  <c r="BJ63" i="20"/>
  <c r="H64" i="20" s="1"/>
  <c r="Y64" i="20" s="1"/>
  <c r="BI63" i="20"/>
  <c r="G64" i="20" s="1"/>
  <c r="X64" i="20" s="1"/>
  <c r="BG63" i="20"/>
  <c r="E64" i="20" s="1"/>
  <c r="V64" i="20" s="1"/>
  <c r="BD63" i="20"/>
  <c r="BF63" i="20"/>
  <c r="D64" i="20" s="1"/>
  <c r="U64" i="20" s="1"/>
  <c r="AP63" i="20"/>
  <c r="AO63" i="26"/>
  <c r="AQ63" i="26" s="1"/>
  <c r="AO63" i="20"/>
  <c r="AQ63" i="20" l="1"/>
  <c r="AQ63" i="23"/>
  <c r="B64" i="23"/>
  <c r="BL63" i="23"/>
  <c r="B64" i="26"/>
  <c r="BL63" i="26"/>
  <c r="B64" i="20"/>
  <c r="BL63" i="20"/>
  <c r="I64" i="26" l="1"/>
  <c r="J64" i="26" s="1"/>
  <c r="K64" i="26" s="1"/>
  <c r="L64" i="26" s="1"/>
  <c r="S64" i="26"/>
  <c r="I64" i="23"/>
  <c r="J64" i="23" s="1"/>
  <c r="K64" i="23" s="1"/>
  <c r="L64" i="23" s="1"/>
  <c r="S64" i="23"/>
  <c r="I64" i="20"/>
  <c r="J64" i="20" s="1"/>
  <c r="K64" i="20" s="1"/>
  <c r="L64" i="20" s="1"/>
  <c r="S64" i="20"/>
  <c r="Z64" i="20" l="1"/>
  <c r="AH64" i="20" s="1"/>
  <c r="Z64" i="23"/>
  <c r="AH64" i="23" s="1"/>
  <c r="Z64" i="26"/>
  <c r="AH64" i="26" s="1"/>
  <c r="AT64" i="20" l="1"/>
  <c r="AT64" i="23"/>
  <c r="AA64" i="26"/>
  <c r="AB64" i="26" s="1"/>
  <c r="AC64" i="26" s="1"/>
  <c r="AV64" i="26"/>
  <c r="AW64" i="26"/>
  <c r="AD64" i="26"/>
  <c r="AK64" i="26"/>
  <c r="BK64" i="26"/>
  <c r="AM64" i="26"/>
  <c r="BA64" i="26"/>
  <c r="AY64" i="26"/>
  <c r="AJ64" i="26"/>
  <c r="AN64" i="26"/>
  <c r="AZ64" i="26"/>
  <c r="AD64" i="23"/>
  <c r="AN64" i="23"/>
  <c r="AM64" i="23"/>
  <c r="AA64" i="23"/>
  <c r="AB64" i="23" s="1"/>
  <c r="AC64" i="23" s="1"/>
  <c r="BA64" i="23"/>
  <c r="BK64" i="23"/>
  <c r="AK64" i="23"/>
  <c r="AJ64" i="23"/>
  <c r="AT64" i="26"/>
  <c r="AD64" i="20"/>
  <c r="BK64" i="20"/>
  <c r="BA64" i="20"/>
  <c r="AA64" i="20"/>
  <c r="AB64" i="20" s="1"/>
  <c r="AC64" i="20" s="1"/>
  <c r="AW64" i="20"/>
  <c r="AJ64" i="20"/>
  <c r="AZ64" i="20"/>
  <c r="AV64" i="20"/>
  <c r="AN64" i="20"/>
  <c r="AM64" i="20"/>
  <c r="AK64" i="20"/>
  <c r="AY64" i="20"/>
  <c r="AO64" i="20" l="1"/>
  <c r="AO64" i="23"/>
  <c r="AP64" i="20"/>
  <c r="BF64" i="26"/>
  <c r="BD64" i="26"/>
  <c r="BI64" i="26"/>
  <c r="BG64" i="26"/>
  <c r="BJ64" i="26"/>
  <c r="H65" i="26" s="1"/>
  <c r="Y65" i="26" s="1"/>
  <c r="AP64" i="26"/>
  <c r="BD64" i="20"/>
  <c r="BF64" i="20"/>
  <c r="D65" i="20" s="1"/>
  <c r="U65" i="20" s="1"/>
  <c r="BG64" i="20"/>
  <c r="E65" i="20" s="1"/>
  <c r="V65" i="20" s="1"/>
  <c r="BI64" i="20"/>
  <c r="G65" i="20" s="1"/>
  <c r="X65" i="20" s="1"/>
  <c r="BJ64" i="20"/>
  <c r="H65" i="20" s="1"/>
  <c r="Y65" i="20" s="1"/>
  <c r="BG64" i="23"/>
  <c r="E65" i="23" s="1"/>
  <c r="V65" i="23" s="1"/>
  <c r="BJ64" i="23"/>
  <c r="H65" i="23" s="1"/>
  <c r="Y65" i="23" s="1"/>
  <c r="BD64" i="23"/>
  <c r="BF64" i="23"/>
  <c r="D65" i="23" s="1"/>
  <c r="U65" i="23" s="1"/>
  <c r="BI64" i="23"/>
  <c r="G65" i="23" s="1"/>
  <c r="X65" i="23" s="1"/>
  <c r="AP64" i="23"/>
  <c r="AO64" i="26"/>
  <c r="AQ64" i="23" l="1"/>
  <c r="AQ64" i="20"/>
  <c r="B65" i="20"/>
  <c r="BL64" i="20"/>
  <c r="AQ64" i="26"/>
  <c r="B65" i="26"/>
  <c r="BL64" i="26"/>
  <c r="B65" i="23"/>
  <c r="BL64" i="23"/>
  <c r="I65" i="20" l="1"/>
  <c r="J65" i="20" s="1"/>
  <c r="K65" i="20" s="1"/>
  <c r="L65" i="20" s="1"/>
  <c r="S65" i="20"/>
  <c r="I65" i="23"/>
  <c r="J65" i="23" s="1"/>
  <c r="K65" i="23" s="1"/>
  <c r="L65" i="23" s="1"/>
  <c r="S65" i="23"/>
  <c r="I65" i="26"/>
  <c r="J65" i="26" s="1"/>
  <c r="K65" i="26" s="1"/>
  <c r="L65" i="26" s="1"/>
  <c r="S65" i="26"/>
  <c r="Z65" i="20" l="1"/>
  <c r="AH65" i="20" s="1"/>
  <c r="Z65" i="26"/>
  <c r="AH65" i="26" s="1"/>
  <c r="Z65" i="23"/>
  <c r="AT65" i="23" s="1"/>
  <c r="AT65" i="26" l="1"/>
  <c r="AH65" i="23"/>
  <c r="BK65" i="20"/>
  <c r="AD65" i="20"/>
  <c r="AA65" i="20"/>
  <c r="AB65" i="20" s="1"/>
  <c r="AC65" i="20" s="1"/>
  <c r="BA65" i="20"/>
  <c r="AZ65" i="20"/>
  <c r="AJ65" i="20"/>
  <c r="AY65" i="20"/>
  <c r="AM65" i="20"/>
  <c r="AV65" i="20"/>
  <c r="AW65" i="20"/>
  <c r="AK65" i="20"/>
  <c r="AN65" i="20"/>
  <c r="AY65" i="26"/>
  <c r="AJ65" i="26"/>
  <c r="BK65" i="26"/>
  <c r="AW65" i="26"/>
  <c r="BA65" i="26"/>
  <c r="AA65" i="26"/>
  <c r="AB65" i="26" s="1"/>
  <c r="AC65" i="26" s="1"/>
  <c r="AM65" i="26"/>
  <c r="AD65" i="26"/>
  <c r="AV65" i="26"/>
  <c r="AK65" i="26"/>
  <c r="AZ65" i="26"/>
  <c r="AN65" i="26"/>
  <c r="AA65" i="23"/>
  <c r="AB65" i="23" s="1"/>
  <c r="AC65" i="23" s="1"/>
  <c r="BA65" i="23"/>
  <c r="AD65" i="23"/>
  <c r="BK65" i="23"/>
  <c r="AN65" i="23"/>
  <c r="AJ65" i="23"/>
  <c r="AK65" i="23"/>
  <c r="AM65" i="23"/>
  <c r="AT65" i="20"/>
  <c r="AO65" i="26" l="1"/>
  <c r="AP65" i="20"/>
  <c r="AO65" i="20"/>
  <c r="AP65" i="23"/>
  <c r="BG65" i="26"/>
  <c r="BI65" i="26"/>
  <c r="BD65" i="26"/>
  <c r="BF65" i="26"/>
  <c r="BJ65" i="26"/>
  <c r="H66" i="26" s="1"/>
  <c r="Y66" i="26" s="1"/>
  <c r="BG65" i="20"/>
  <c r="E66" i="20" s="1"/>
  <c r="V66" i="20" s="1"/>
  <c r="BD65" i="20"/>
  <c r="BF65" i="20"/>
  <c r="D66" i="20" s="1"/>
  <c r="U66" i="20" s="1"/>
  <c r="BJ65" i="20"/>
  <c r="H66" i="20" s="1"/>
  <c r="Y66" i="20" s="1"/>
  <c r="BI65" i="20"/>
  <c r="G66" i="20" s="1"/>
  <c r="X66" i="20" s="1"/>
  <c r="BI65" i="23"/>
  <c r="G66" i="23" s="1"/>
  <c r="X66" i="23" s="1"/>
  <c r="BJ65" i="23"/>
  <c r="H66" i="23" s="1"/>
  <c r="Y66" i="23" s="1"/>
  <c r="BF65" i="23"/>
  <c r="D66" i="23" s="1"/>
  <c r="U66" i="23" s="1"/>
  <c r="BD65" i="23"/>
  <c r="BG65" i="23"/>
  <c r="E66" i="23" s="1"/>
  <c r="V66" i="23" s="1"/>
  <c r="AP65" i="26"/>
  <c r="AO65" i="23"/>
  <c r="AQ65" i="20" l="1"/>
  <c r="AQ65" i="26"/>
  <c r="AQ65" i="23"/>
  <c r="B66" i="23"/>
  <c r="BL65" i="23"/>
  <c r="B66" i="26"/>
  <c r="BL65" i="26"/>
  <c r="B66" i="20"/>
  <c r="BL65" i="20"/>
  <c r="I66" i="23" l="1"/>
  <c r="J66" i="23" s="1"/>
  <c r="K66" i="23" s="1"/>
  <c r="L66" i="23" s="1"/>
  <c r="S66" i="23"/>
  <c r="S66" i="20"/>
  <c r="I66" i="20"/>
  <c r="J66" i="20" s="1"/>
  <c r="K66" i="20" s="1"/>
  <c r="L66" i="20" s="1"/>
  <c r="I66" i="26"/>
  <c r="J66" i="26" s="1"/>
  <c r="K66" i="26" s="1"/>
  <c r="L66" i="26" s="1"/>
  <c r="S66" i="26"/>
  <c r="Z66" i="26" l="1"/>
  <c r="AT66" i="26" s="1"/>
  <c r="Z66" i="23"/>
  <c r="AH66" i="23" s="1"/>
  <c r="Z66" i="20"/>
  <c r="BK66" i="20" l="1"/>
  <c r="AA66" i="20"/>
  <c r="AB66" i="20" s="1"/>
  <c r="AC66" i="20" s="1"/>
  <c r="AD66" i="20"/>
  <c r="BA66" i="20"/>
  <c r="AW66" i="20"/>
  <c r="AY66" i="20"/>
  <c r="AJ66" i="20"/>
  <c r="AM66" i="20"/>
  <c r="AN66" i="20"/>
  <c r="AZ66" i="20"/>
  <c r="AV66" i="20"/>
  <c r="AK66" i="20"/>
  <c r="AT66" i="20"/>
  <c r="AK66" i="23"/>
  <c r="BK66" i="23"/>
  <c r="AD66" i="23"/>
  <c r="AA66" i="23"/>
  <c r="AB66" i="23" s="1"/>
  <c r="AC66" i="23" s="1"/>
  <c r="BA66" i="23"/>
  <c r="AJ66" i="23"/>
  <c r="AM66" i="23"/>
  <c r="AN66" i="23"/>
  <c r="AT66" i="23"/>
  <c r="AH66" i="26"/>
  <c r="AH66" i="20"/>
  <c r="AM66" i="26"/>
  <c r="AJ66" i="26"/>
  <c r="AD66" i="26"/>
  <c r="BK66" i="26"/>
  <c r="AY66" i="26"/>
  <c r="AW66" i="26"/>
  <c r="AA66" i="26"/>
  <c r="AB66" i="26" s="1"/>
  <c r="AC66" i="26" s="1"/>
  <c r="BA66" i="26"/>
  <c r="AV66" i="26"/>
  <c r="AK66" i="26"/>
  <c r="AZ66" i="26"/>
  <c r="AN66" i="26"/>
  <c r="AP66" i="26" l="1"/>
  <c r="AP66" i="20"/>
  <c r="AO66" i="23"/>
  <c r="AO66" i="20"/>
  <c r="BF66" i="23"/>
  <c r="D67" i="23" s="1"/>
  <c r="U67" i="23" s="1"/>
  <c r="BG66" i="23"/>
  <c r="E67" i="23" s="1"/>
  <c r="V67" i="23" s="1"/>
  <c r="BD66" i="23"/>
  <c r="BI66" i="23"/>
  <c r="G67" i="23" s="1"/>
  <c r="X67" i="23" s="1"/>
  <c r="BJ66" i="23"/>
  <c r="H67" i="23" s="1"/>
  <c r="Y67" i="23" s="1"/>
  <c r="AP66" i="23"/>
  <c r="AO66" i="26"/>
  <c r="BJ66" i="26"/>
  <c r="H67" i="26" s="1"/>
  <c r="Y67" i="26" s="1"/>
  <c r="BF66" i="26"/>
  <c r="BD66" i="26"/>
  <c r="BG66" i="26"/>
  <c r="BI66" i="26"/>
  <c r="BF66" i="20"/>
  <c r="D67" i="20" s="1"/>
  <c r="U67" i="20" s="1"/>
  <c r="BJ66" i="20"/>
  <c r="H67" i="20" s="1"/>
  <c r="Y67" i="20" s="1"/>
  <c r="BD66" i="20"/>
  <c r="BG66" i="20"/>
  <c r="E67" i="20" s="1"/>
  <c r="V67" i="20" s="1"/>
  <c r="BI66" i="20"/>
  <c r="G67" i="20" s="1"/>
  <c r="X67" i="20" s="1"/>
  <c r="AQ66" i="26" l="1"/>
  <c r="AQ66" i="20"/>
  <c r="B67" i="23"/>
  <c r="BL66" i="23"/>
  <c r="B67" i="26"/>
  <c r="BL66" i="26"/>
  <c r="B67" i="20"/>
  <c r="BL66" i="20"/>
  <c r="AQ66" i="23"/>
  <c r="S67" i="26" l="1"/>
  <c r="I67" i="26"/>
  <c r="J67" i="26" s="1"/>
  <c r="K67" i="26" s="1"/>
  <c r="L67" i="26" s="1"/>
  <c r="S67" i="23"/>
  <c r="I67" i="23"/>
  <c r="J67" i="23" s="1"/>
  <c r="K67" i="23" s="1"/>
  <c r="L67" i="23" s="1"/>
  <c r="S67" i="20"/>
  <c r="I67" i="20"/>
  <c r="J67" i="20" s="1"/>
  <c r="K67" i="20" s="1"/>
  <c r="L67" i="20" s="1"/>
  <c r="Z67" i="23" l="1"/>
  <c r="AT67" i="23" s="1"/>
  <c r="Z67" i="20"/>
  <c r="Z67" i="26"/>
  <c r="AH67" i="26" s="1"/>
  <c r="AH67" i="23" l="1"/>
  <c r="BK67" i="20"/>
  <c r="AD67" i="20"/>
  <c r="AA67" i="20"/>
  <c r="AB67" i="20" s="1"/>
  <c r="AC67" i="20" s="1"/>
  <c r="BA67" i="20"/>
  <c r="AZ67" i="20"/>
  <c r="AV67" i="20"/>
  <c r="AY67" i="20"/>
  <c r="AW67" i="20"/>
  <c r="AJ67" i="20"/>
  <c r="AM67" i="20"/>
  <c r="AK67" i="20"/>
  <c r="AN67" i="20"/>
  <c r="AV67" i="26"/>
  <c r="AD67" i="26"/>
  <c r="BK67" i="26"/>
  <c r="AY67" i="26"/>
  <c r="AA67" i="26"/>
  <c r="AB67" i="26" s="1"/>
  <c r="AC67" i="26" s="1"/>
  <c r="AK67" i="26"/>
  <c r="BA67" i="26"/>
  <c r="AJ67" i="26"/>
  <c r="AM67" i="26"/>
  <c r="AW67" i="26"/>
  <c r="AZ67" i="26"/>
  <c r="AN67" i="26"/>
  <c r="AH67" i="20"/>
  <c r="AT67" i="20"/>
  <c r="AT67" i="26"/>
  <c r="BA67" i="23"/>
  <c r="BK67" i="23"/>
  <c r="AD67" i="23"/>
  <c r="AJ67" i="23"/>
  <c r="AA67" i="23"/>
  <c r="AB67" i="23" s="1"/>
  <c r="AC67" i="23" s="1"/>
  <c r="AN67" i="23"/>
  <c r="AM67" i="23"/>
  <c r="AK67" i="23"/>
  <c r="AO67" i="23" l="1"/>
  <c r="AP67" i="23"/>
  <c r="AO67" i="26"/>
  <c r="AO67" i="20"/>
  <c r="AP67" i="20"/>
  <c r="BD67" i="20"/>
  <c r="BG67" i="20"/>
  <c r="E68" i="20" s="1"/>
  <c r="V68" i="20" s="1"/>
  <c r="BJ67" i="20"/>
  <c r="H68" i="20" s="1"/>
  <c r="Y68" i="20" s="1"/>
  <c r="BF67" i="20"/>
  <c r="D68" i="20" s="1"/>
  <c r="U68" i="20" s="1"/>
  <c r="BI67" i="20"/>
  <c r="G68" i="20" s="1"/>
  <c r="X68" i="20" s="1"/>
  <c r="BD67" i="26"/>
  <c r="BG67" i="26"/>
  <c r="BF67" i="26"/>
  <c r="BJ67" i="26"/>
  <c r="H68" i="26" s="1"/>
  <c r="Y68" i="26" s="1"/>
  <c r="BI67" i="26"/>
  <c r="AP67" i="26"/>
  <c r="BD67" i="23"/>
  <c r="BF67" i="23"/>
  <c r="D68" i="23" s="1"/>
  <c r="U68" i="23" s="1"/>
  <c r="BI67" i="23"/>
  <c r="G68" i="23" s="1"/>
  <c r="X68" i="23" s="1"/>
  <c r="BG67" i="23"/>
  <c r="E68" i="23" s="1"/>
  <c r="V68" i="23" s="1"/>
  <c r="BJ67" i="23"/>
  <c r="H68" i="23" s="1"/>
  <c r="Y68" i="23" s="1"/>
  <c r="AQ67" i="26" l="1"/>
  <c r="AQ67" i="23"/>
  <c r="B68" i="20"/>
  <c r="BL67" i="20"/>
  <c r="AQ67" i="20"/>
  <c r="B68" i="23"/>
  <c r="BL67" i="23"/>
  <c r="B68" i="26"/>
  <c r="BL67" i="26"/>
  <c r="S68" i="26" l="1"/>
  <c r="I68" i="26"/>
  <c r="J68" i="26" s="1"/>
  <c r="K68" i="26" s="1"/>
  <c r="L68" i="26" s="1"/>
  <c r="I68" i="20"/>
  <c r="J68" i="20" s="1"/>
  <c r="K68" i="20" s="1"/>
  <c r="L68" i="20" s="1"/>
  <c r="S68" i="20"/>
  <c r="S68" i="23"/>
  <c r="I68" i="23"/>
  <c r="J68" i="23" s="1"/>
  <c r="K68" i="23" s="1"/>
  <c r="L68" i="23" s="1"/>
  <c r="Z68" i="23" l="1"/>
  <c r="AT68" i="23" s="1"/>
  <c r="Z68" i="20"/>
  <c r="AH68" i="20" s="1"/>
  <c r="Z68" i="26"/>
  <c r="AH68" i="23" l="1"/>
  <c r="AV68" i="26"/>
  <c r="AM68" i="26"/>
  <c r="AA68" i="26"/>
  <c r="AB68" i="26" s="1"/>
  <c r="AC68" i="26" s="1"/>
  <c r="BA68" i="26"/>
  <c r="BK68" i="26"/>
  <c r="AW68" i="26"/>
  <c r="AD68" i="26"/>
  <c r="AY68" i="26"/>
  <c r="AK68" i="26"/>
  <c r="AJ68" i="26"/>
  <c r="AZ68" i="26"/>
  <c r="AN68" i="26"/>
  <c r="AT68" i="20"/>
  <c r="AA68" i="20"/>
  <c r="AB68" i="20" s="1"/>
  <c r="AC68" i="20" s="1"/>
  <c r="BA68" i="20"/>
  <c r="AD68" i="20"/>
  <c r="BK68" i="20"/>
  <c r="AM68" i="20"/>
  <c r="AW68" i="20"/>
  <c r="AY68" i="20"/>
  <c r="AK68" i="20"/>
  <c r="AV68" i="20"/>
  <c r="AJ68" i="20"/>
  <c r="AZ68" i="20"/>
  <c r="AN68" i="20"/>
  <c r="AH68" i="26"/>
  <c r="AT68" i="26"/>
  <c r="AM68" i="23"/>
  <c r="AD68" i="23"/>
  <c r="BK68" i="23"/>
  <c r="AA68" i="23"/>
  <c r="AB68" i="23" s="1"/>
  <c r="AC68" i="23" s="1"/>
  <c r="AN68" i="23"/>
  <c r="AK68" i="23"/>
  <c r="BA68" i="23"/>
  <c r="AJ68" i="23"/>
  <c r="AO68" i="20" l="1"/>
  <c r="AP68" i="23"/>
  <c r="AO68" i="23"/>
  <c r="AQ68" i="23" s="1"/>
  <c r="AO68" i="26"/>
  <c r="BJ68" i="26"/>
  <c r="H69" i="26" s="1"/>
  <c r="Y69" i="26" s="1"/>
  <c r="BI68" i="26"/>
  <c r="BG68" i="26"/>
  <c r="BF68" i="26"/>
  <c r="BD68" i="26"/>
  <c r="BF68" i="23"/>
  <c r="D69" i="23" s="1"/>
  <c r="U69" i="23" s="1"/>
  <c r="BG68" i="23"/>
  <c r="E69" i="23" s="1"/>
  <c r="V69" i="23" s="1"/>
  <c r="BD68" i="23"/>
  <c r="BI68" i="23"/>
  <c r="G69" i="23" s="1"/>
  <c r="X69" i="23" s="1"/>
  <c r="BJ68" i="23"/>
  <c r="H69" i="23" s="1"/>
  <c r="Y69" i="23" s="1"/>
  <c r="BD68" i="20"/>
  <c r="BF68" i="20"/>
  <c r="D69" i="20" s="1"/>
  <c r="U69" i="20" s="1"/>
  <c r="BJ68" i="20"/>
  <c r="H69" i="20" s="1"/>
  <c r="Y69" i="20" s="1"/>
  <c r="BI68" i="20"/>
  <c r="G69" i="20" s="1"/>
  <c r="X69" i="20" s="1"/>
  <c r="BG68" i="20"/>
  <c r="E69" i="20" s="1"/>
  <c r="V69" i="20" s="1"/>
  <c r="AP68" i="26"/>
  <c r="AP68" i="20"/>
  <c r="AQ68" i="20" s="1"/>
  <c r="AQ68" i="26" l="1"/>
  <c r="B69" i="26"/>
  <c r="BL68" i="26"/>
  <c r="B69" i="20"/>
  <c r="BL68" i="20"/>
  <c r="B69" i="23"/>
  <c r="BL68" i="23"/>
  <c r="I69" i="20" l="1"/>
  <c r="J69" i="20" s="1"/>
  <c r="K69" i="20" s="1"/>
  <c r="L69" i="20" s="1"/>
  <c r="S69" i="20"/>
  <c r="S69" i="26"/>
  <c r="I69" i="26"/>
  <c r="J69" i="26" s="1"/>
  <c r="K69" i="26" s="1"/>
  <c r="L69" i="26" s="1"/>
  <c r="S69" i="23"/>
  <c r="I69" i="23"/>
  <c r="J69" i="23" s="1"/>
  <c r="K69" i="23" s="1"/>
  <c r="L69" i="23" s="1"/>
  <c r="Z69" i="23" l="1"/>
  <c r="AT69" i="23" s="1"/>
  <c r="Z69" i="26"/>
  <c r="AT69" i="26" s="1"/>
  <c r="Z69" i="20"/>
  <c r="AT69" i="20" s="1"/>
  <c r="AH69" i="23" l="1"/>
  <c r="AH69" i="26"/>
  <c r="BA69" i="20"/>
  <c r="AD69" i="20"/>
  <c r="BK69" i="20"/>
  <c r="AA69" i="20"/>
  <c r="AB69" i="20" s="1"/>
  <c r="AC69" i="20" s="1"/>
  <c r="AJ69" i="20"/>
  <c r="AV69" i="20"/>
  <c r="AM69" i="20"/>
  <c r="AN69" i="20"/>
  <c r="AK69" i="20"/>
  <c r="AZ69" i="20"/>
  <c r="AY69" i="20"/>
  <c r="AW69" i="20"/>
  <c r="AD69" i="26"/>
  <c r="AJ69" i="26"/>
  <c r="AM69" i="26"/>
  <c r="AV69" i="26"/>
  <c r="AW69" i="26"/>
  <c r="BA69" i="26"/>
  <c r="BK69" i="26"/>
  <c r="AK69" i="26"/>
  <c r="AY69" i="26"/>
  <c r="AA69" i="26"/>
  <c r="AB69" i="26" s="1"/>
  <c r="AC69" i="26" s="1"/>
  <c r="AZ69" i="26"/>
  <c r="AN69" i="26"/>
  <c r="AH69" i="20"/>
  <c r="BK69" i="23"/>
  <c r="AM69" i="23"/>
  <c r="BA69" i="23"/>
  <c r="AD69" i="23"/>
  <c r="AN69" i="23"/>
  <c r="AA69" i="23"/>
  <c r="AB69" i="23" s="1"/>
  <c r="AC69" i="23" s="1"/>
  <c r="AJ69" i="23"/>
  <c r="AK69" i="23"/>
  <c r="AP69" i="23" l="1"/>
  <c r="AP69" i="26"/>
  <c r="AO69" i="23"/>
  <c r="BI69" i="26"/>
  <c r="BG69" i="26"/>
  <c r="BD69" i="26"/>
  <c r="BJ69" i="26"/>
  <c r="H70" i="26" s="1"/>
  <c r="Y70" i="26" s="1"/>
  <c r="BF69" i="26"/>
  <c r="BF69" i="20"/>
  <c r="D70" i="20" s="1"/>
  <c r="U70" i="20" s="1"/>
  <c r="BD69" i="20"/>
  <c r="BG69" i="20"/>
  <c r="E70" i="20" s="1"/>
  <c r="V70" i="20" s="1"/>
  <c r="BI69" i="20"/>
  <c r="G70" i="20" s="1"/>
  <c r="X70" i="20" s="1"/>
  <c r="BJ69" i="20"/>
  <c r="H70" i="20" s="1"/>
  <c r="Y70" i="20" s="1"/>
  <c r="AO69" i="20"/>
  <c r="AP69" i="20"/>
  <c r="AO69" i="26"/>
  <c r="BD69" i="23"/>
  <c r="BJ69" i="23"/>
  <c r="H70" i="23" s="1"/>
  <c r="Y70" i="23" s="1"/>
  <c r="BG69" i="23"/>
  <c r="E70" i="23" s="1"/>
  <c r="V70" i="23" s="1"/>
  <c r="BI69" i="23"/>
  <c r="G70" i="23" s="1"/>
  <c r="X70" i="23" s="1"/>
  <c r="BF69" i="23"/>
  <c r="D70" i="23" s="1"/>
  <c r="U70" i="23" s="1"/>
  <c r="AQ69" i="23" l="1"/>
  <c r="AQ69" i="26"/>
  <c r="B70" i="20"/>
  <c r="BL69" i="20"/>
  <c r="AQ69" i="20"/>
  <c r="B70" i="26"/>
  <c r="BL69" i="26"/>
  <c r="B70" i="23"/>
  <c r="BL69" i="23"/>
  <c r="S70" i="23" l="1"/>
  <c r="I70" i="23"/>
  <c r="J70" i="23" s="1"/>
  <c r="K70" i="23" s="1"/>
  <c r="L70" i="23" s="1"/>
  <c r="I70" i="26"/>
  <c r="J70" i="26" s="1"/>
  <c r="K70" i="26" s="1"/>
  <c r="L70" i="26" s="1"/>
  <c r="S70" i="26"/>
  <c r="S70" i="20"/>
  <c r="I70" i="20"/>
  <c r="J70" i="20" s="1"/>
  <c r="K70" i="20" s="1"/>
  <c r="L70" i="20" s="1"/>
  <c r="Z70" i="26" l="1"/>
  <c r="AH70" i="26" s="1"/>
  <c r="Z70" i="20"/>
  <c r="AT70" i="20" s="1"/>
  <c r="Z70" i="23"/>
  <c r="AT70" i="23" s="1"/>
  <c r="AT70" i="26" l="1"/>
  <c r="AJ70" i="23"/>
  <c r="AD70" i="23"/>
  <c r="AA70" i="23"/>
  <c r="AB70" i="23" s="1"/>
  <c r="AC70" i="23" s="1"/>
  <c r="BK70" i="23"/>
  <c r="AM70" i="23"/>
  <c r="BA70" i="23"/>
  <c r="AK70" i="23"/>
  <c r="AN70" i="23"/>
  <c r="BK70" i="20"/>
  <c r="AD70" i="20"/>
  <c r="AA70" i="20"/>
  <c r="AB70" i="20" s="1"/>
  <c r="AC70" i="20" s="1"/>
  <c r="BA70" i="20"/>
  <c r="AM70" i="20"/>
  <c r="AY70" i="20"/>
  <c r="AN70" i="20"/>
  <c r="AW70" i="20"/>
  <c r="AZ70" i="20"/>
  <c r="AK70" i="20"/>
  <c r="AV70" i="20"/>
  <c r="AJ70" i="20"/>
  <c r="AH70" i="20"/>
  <c r="AH70" i="23"/>
  <c r="AK70" i="26"/>
  <c r="BA70" i="26"/>
  <c r="AM70" i="26"/>
  <c r="AW70" i="26"/>
  <c r="AA70" i="26"/>
  <c r="AB70" i="26" s="1"/>
  <c r="AC70" i="26" s="1"/>
  <c r="AV70" i="26"/>
  <c r="AD70" i="26"/>
  <c r="AJ70" i="26"/>
  <c r="AY70" i="26"/>
  <c r="BK70" i="26"/>
  <c r="AZ70" i="26"/>
  <c r="AN70" i="26"/>
  <c r="BD70" i="20" l="1"/>
  <c r="BF70" i="20"/>
  <c r="D71" i="20" s="1"/>
  <c r="U71" i="20" s="1"/>
  <c r="BI70" i="20"/>
  <c r="G71" i="20" s="1"/>
  <c r="X71" i="20" s="1"/>
  <c r="BJ70" i="20"/>
  <c r="H71" i="20" s="1"/>
  <c r="Y71" i="20" s="1"/>
  <c r="BG70" i="20"/>
  <c r="E71" i="20" s="1"/>
  <c r="V71" i="20" s="1"/>
  <c r="BI70" i="26"/>
  <c r="BG70" i="26"/>
  <c r="BF70" i="26"/>
  <c r="BD70" i="26"/>
  <c r="BJ70" i="26"/>
  <c r="H71" i="26" s="1"/>
  <c r="Y71" i="26" s="1"/>
  <c r="AO70" i="23"/>
  <c r="AP70" i="23"/>
  <c r="AP70" i="20"/>
  <c r="AO70" i="20"/>
  <c r="AP70" i="26"/>
  <c r="BF70" i="23"/>
  <c r="D71" i="23" s="1"/>
  <c r="U71" i="23" s="1"/>
  <c r="BD70" i="23"/>
  <c r="BG70" i="23"/>
  <c r="E71" i="23" s="1"/>
  <c r="V71" i="23" s="1"/>
  <c r="BI70" i="23"/>
  <c r="G71" i="23" s="1"/>
  <c r="X71" i="23" s="1"/>
  <c r="BJ70" i="23"/>
  <c r="H71" i="23" s="1"/>
  <c r="Y71" i="23" s="1"/>
  <c r="AO70" i="26"/>
  <c r="AQ70" i="20" l="1"/>
  <c r="AQ70" i="26"/>
  <c r="AQ70" i="23"/>
  <c r="B71" i="23"/>
  <c r="BL70" i="23"/>
  <c r="B71" i="26"/>
  <c r="BL70" i="26"/>
  <c r="B71" i="20"/>
  <c r="BL70" i="20"/>
  <c r="S71" i="26" l="1"/>
  <c r="I71" i="26"/>
  <c r="I71" i="23"/>
  <c r="J71" i="23" s="1"/>
  <c r="K71" i="23" s="1"/>
  <c r="L71" i="23" s="1"/>
  <c r="S71" i="23"/>
  <c r="I71" i="20"/>
  <c r="J71" i="20" s="1"/>
  <c r="K71" i="20" s="1"/>
  <c r="L71" i="20" s="1"/>
  <c r="S71" i="20"/>
  <c r="Z71" i="23" l="1"/>
  <c r="AH71" i="23" s="1"/>
  <c r="J71" i="26"/>
  <c r="K71" i="26" s="1"/>
  <c r="L71" i="26" s="1"/>
  <c r="Z71" i="20"/>
  <c r="Z71" i="26"/>
  <c r="AH71" i="26" s="1"/>
  <c r="AT71" i="26" l="1"/>
  <c r="AD71" i="20"/>
  <c r="BK71" i="20"/>
  <c r="BA71" i="20"/>
  <c r="AA71" i="20"/>
  <c r="AB71" i="20" s="1"/>
  <c r="AC71" i="20" s="1"/>
  <c r="AM71" i="20"/>
  <c r="AW71" i="20"/>
  <c r="AV71" i="20"/>
  <c r="AY71" i="20"/>
  <c r="AK71" i="20"/>
  <c r="AJ71" i="20"/>
  <c r="AZ71" i="20"/>
  <c r="AN71" i="20"/>
  <c r="AH71" i="20"/>
  <c r="AT71" i="20"/>
  <c r="AM71" i="26"/>
  <c r="BA71" i="26"/>
  <c r="AD71" i="26"/>
  <c r="AK71" i="26"/>
  <c r="AV71" i="26"/>
  <c r="AJ71" i="26"/>
  <c r="AA71" i="26"/>
  <c r="AB71" i="26" s="1"/>
  <c r="AC71" i="26" s="1"/>
  <c r="AY71" i="26"/>
  <c r="AW71" i="26"/>
  <c r="BK71" i="26"/>
  <c r="AZ71" i="26"/>
  <c r="AN71" i="26"/>
  <c r="AT71" i="23"/>
  <c r="BK71" i="23"/>
  <c r="AA71" i="23"/>
  <c r="AB71" i="23" s="1"/>
  <c r="AC71" i="23" s="1"/>
  <c r="AM71" i="23"/>
  <c r="AN71" i="23"/>
  <c r="AD71" i="23"/>
  <c r="AK71" i="23"/>
  <c r="BA71" i="23"/>
  <c r="AJ71" i="23"/>
  <c r="AO71" i="23" l="1"/>
  <c r="AP71" i="20"/>
  <c r="AP71" i="26"/>
  <c r="AP71" i="23"/>
  <c r="AO71" i="20"/>
  <c r="BJ71" i="26"/>
  <c r="H72" i="26" s="1"/>
  <c r="Y72" i="26" s="1"/>
  <c r="BF71" i="26"/>
  <c r="BI71" i="26"/>
  <c r="BG71" i="26"/>
  <c r="BD71" i="26"/>
  <c r="BI71" i="20"/>
  <c r="G72" i="20" s="1"/>
  <c r="X72" i="20" s="1"/>
  <c r="BJ71" i="20"/>
  <c r="H72" i="20" s="1"/>
  <c r="Y72" i="20" s="1"/>
  <c r="BF71" i="20"/>
  <c r="D72" i="20" s="1"/>
  <c r="U72" i="20" s="1"/>
  <c r="BG71" i="20"/>
  <c r="E72" i="20" s="1"/>
  <c r="V72" i="20" s="1"/>
  <c r="BD71" i="20"/>
  <c r="BG71" i="23"/>
  <c r="E72" i="23" s="1"/>
  <c r="V72" i="23" s="1"/>
  <c r="BD71" i="23"/>
  <c r="BI71" i="23"/>
  <c r="G72" i="23" s="1"/>
  <c r="X72" i="23" s="1"/>
  <c r="BJ71" i="23"/>
  <c r="H72" i="23" s="1"/>
  <c r="Y72" i="23" s="1"/>
  <c r="BF71" i="23"/>
  <c r="D72" i="23" s="1"/>
  <c r="U72" i="23" s="1"/>
  <c r="AO71" i="26"/>
  <c r="AQ71" i="23" l="1"/>
  <c r="AQ71" i="26"/>
  <c r="AQ71" i="20"/>
  <c r="B72" i="26"/>
  <c r="BL71" i="26"/>
  <c r="B72" i="23"/>
  <c r="BL71" i="23"/>
  <c r="B72" i="20"/>
  <c r="BL71" i="20"/>
  <c r="S72" i="26" l="1"/>
  <c r="I72" i="26"/>
  <c r="I72" i="23"/>
  <c r="J72" i="23" s="1"/>
  <c r="K72" i="23" s="1"/>
  <c r="L72" i="23" s="1"/>
  <c r="S72" i="23"/>
  <c r="S72" i="20"/>
  <c r="I72" i="20"/>
  <c r="Z72" i="20" l="1"/>
  <c r="AH72" i="20" s="1"/>
  <c r="J72" i="26"/>
  <c r="K72" i="26" s="1"/>
  <c r="L72" i="26" s="1"/>
  <c r="J72" i="20"/>
  <c r="K72" i="20" s="1"/>
  <c r="L72" i="20" s="1"/>
  <c r="Z72" i="23"/>
  <c r="AH72" i="23" s="1"/>
  <c r="Z72" i="26"/>
  <c r="AT72" i="26" s="1"/>
  <c r="AT72" i="23" l="1"/>
  <c r="AT72" i="20"/>
  <c r="AH72" i="26"/>
  <c r="AD72" i="26"/>
  <c r="BA72" i="26"/>
  <c r="AM72" i="26"/>
  <c r="AJ72" i="26"/>
  <c r="BK72" i="26"/>
  <c r="AW72" i="26"/>
  <c r="AY72" i="26"/>
  <c r="AA72" i="26"/>
  <c r="AB72" i="26" s="1"/>
  <c r="AC72" i="26" s="1"/>
  <c r="AK72" i="26"/>
  <c r="AV72" i="26"/>
  <c r="AN72" i="26"/>
  <c r="AZ72" i="26"/>
  <c r="AA72" i="23"/>
  <c r="AB72" i="23" s="1"/>
  <c r="AC72" i="23" s="1"/>
  <c r="BK72" i="23"/>
  <c r="AD72" i="23"/>
  <c r="AJ72" i="23"/>
  <c r="BA72" i="23"/>
  <c r="AN72" i="23"/>
  <c r="AK72" i="23"/>
  <c r="AM72" i="23"/>
  <c r="AD72" i="20"/>
  <c r="BA72" i="20"/>
  <c r="BK72" i="20"/>
  <c r="AA72" i="20"/>
  <c r="AB72" i="20" s="1"/>
  <c r="AC72" i="20" s="1"/>
  <c r="AY72" i="20"/>
  <c r="AM72" i="20"/>
  <c r="AV72" i="20"/>
  <c r="AK72" i="20"/>
  <c r="AW72" i="20"/>
  <c r="AJ72" i="20"/>
  <c r="AN72" i="20"/>
  <c r="I35" i="8" s="1"/>
  <c r="AZ72" i="20"/>
  <c r="AO72" i="23" l="1"/>
  <c r="AP72" i="26"/>
  <c r="AP72" i="20"/>
  <c r="AO72" i="20"/>
  <c r="AP72" i="23"/>
  <c r="AQ72" i="23" s="1"/>
  <c r="BG72" i="23"/>
  <c r="E73" i="23" s="1"/>
  <c r="V73" i="23" s="1"/>
  <c r="BD72" i="23"/>
  <c r="BF72" i="23"/>
  <c r="D73" i="23" s="1"/>
  <c r="U73" i="23" s="1"/>
  <c r="BJ72" i="23"/>
  <c r="H73" i="23" s="1"/>
  <c r="Y73" i="23" s="1"/>
  <c r="BI72" i="23"/>
  <c r="G73" i="23" s="1"/>
  <c r="X73" i="23" s="1"/>
  <c r="I34" i="8"/>
  <c r="I36" i="8" s="1"/>
  <c r="BJ72" i="20"/>
  <c r="H73" i="20" s="1"/>
  <c r="Y73" i="20" s="1"/>
  <c r="BI72" i="20"/>
  <c r="G73" i="20" s="1"/>
  <c r="X73" i="20" s="1"/>
  <c r="BD72" i="20"/>
  <c r="BF72" i="20"/>
  <c r="D73" i="20" s="1"/>
  <c r="U73" i="20" s="1"/>
  <c r="BG72" i="20"/>
  <c r="E73" i="20" s="1"/>
  <c r="V73" i="20" s="1"/>
  <c r="BD72" i="26"/>
  <c r="BG72" i="26"/>
  <c r="BJ72" i="26"/>
  <c r="H73" i="26" s="1"/>
  <c r="Y73" i="26" s="1"/>
  <c r="BI72" i="26"/>
  <c r="BF72" i="26"/>
  <c r="AO72" i="26"/>
  <c r="AQ72" i="26" l="1"/>
  <c r="AQ72" i="20"/>
  <c r="B73" i="23"/>
  <c r="BL72" i="23"/>
  <c r="B73" i="20"/>
  <c r="BL72" i="20"/>
  <c r="B73" i="26"/>
  <c r="BL72" i="26"/>
  <c r="S73" i="26" l="1"/>
  <c r="I73" i="26"/>
  <c r="S73" i="20"/>
  <c r="I73" i="20"/>
  <c r="S73" i="23"/>
  <c r="I73" i="23"/>
  <c r="J73" i="20" l="1"/>
  <c r="K73" i="20" s="1"/>
  <c r="L73" i="20" s="1"/>
  <c r="J73" i="23"/>
  <c r="K73" i="23" s="1"/>
  <c r="L73" i="23" s="1"/>
  <c r="Z73" i="23"/>
  <c r="AT73" i="23" s="1"/>
  <c r="Z73" i="20"/>
  <c r="J73" i="26"/>
  <c r="K73" i="26" s="1"/>
  <c r="L73" i="26" s="1"/>
  <c r="Z73" i="26"/>
  <c r="AH73" i="23" l="1"/>
  <c r="AD73" i="26"/>
  <c r="AW73" i="26"/>
  <c r="AY73" i="26"/>
  <c r="AA73" i="26"/>
  <c r="AJ73" i="26"/>
  <c r="AJ76" i="26" s="1"/>
  <c r="AM73" i="26"/>
  <c r="AM76" i="26" s="1"/>
  <c r="AK73" i="26"/>
  <c r="BK73" i="26"/>
  <c r="AV73" i="26"/>
  <c r="BA73" i="26"/>
  <c r="AN73" i="26"/>
  <c r="AZ73" i="26"/>
  <c r="AK73" i="23"/>
  <c r="BK73" i="23"/>
  <c r="AA73" i="23"/>
  <c r="BA73" i="23"/>
  <c r="AD73" i="23"/>
  <c r="AN73" i="23"/>
  <c r="AM73" i="23"/>
  <c r="AJ73" i="23"/>
  <c r="AA73" i="20"/>
  <c r="AD73" i="20"/>
  <c r="BA73" i="20"/>
  <c r="BK73" i="20"/>
  <c r="AZ73" i="20"/>
  <c r="AK73" i="20"/>
  <c r="AW73" i="20"/>
  <c r="AV73" i="20"/>
  <c r="AY73" i="20"/>
  <c r="AJ73" i="20"/>
  <c r="AN73" i="20"/>
  <c r="AM73" i="20"/>
  <c r="AH73" i="26"/>
  <c r="AH76" i="26" s="1"/>
  <c r="AH73" i="20"/>
  <c r="AT73" i="26"/>
  <c r="AT73" i="20"/>
  <c r="AB73" i="20" l="1"/>
  <c r="AC73" i="20" s="1"/>
  <c r="AB73" i="26"/>
  <c r="AC73" i="26" s="1"/>
  <c r="AB73" i="23"/>
  <c r="AC73" i="23" s="1"/>
  <c r="AO73" i="23"/>
  <c r="AP73" i="23"/>
  <c r="BD73" i="26"/>
  <c r="BG73" i="26"/>
  <c r="BJ73" i="26"/>
  <c r="BF73" i="26"/>
  <c r="BI73" i="26"/>
  <c r="AP73" i="26"/>
  <c r="AP76" i="26" s="1"/>
  <c r="I87" i="26" s="1"/>
  <c r="AO73" i="26"/>
  <c r="AO73" i="20"/>
  <c r="AP73" i="20"/>
  <c r="BG73" i="23"/>
  <c r="E74" i="23" s="1"/>
  <c r="V74" i="23" s="1"/>
  <c r="BF73" i="23"/>
  <c r="D74" i="23" s="1"/>
  <c r="U74" i="23" s="1"/>
  <c r="BI73" i="23"/>
  <c r="G74" i="23" s="1"/>
  <c r="X74" i="23" s="1"/>
  <c r="BJ73" i="23"/>
  <c r="H74" i="23" s="1"/>
  <c r="Y74" i="23" s="1"/>
  <c r="BD73" i="23"/>
  <c r="B74" i="23" s="1"/>
  <c r="BD73" i="20"/>
  <c r="B74" i="20" s="1"/>
  <c r="BG73" i="20"/>
  <c r="E74" i="20" s="1"/>
  <c r="V74" i="20" s="1"/>
  <c r="BF73" i="20"/>
  <c r="D74" i="20" s="1"/>
  <c r="U74" i="20" s="1"/>
  <c r="BJ73" i="20"/>
  <c r="H74" i="20" s="1"/>
  <c r="Y74" i="20" s="1"/>
  <c r="BI73" i="20"/>
  <c r="G74" i="20" s="1"/>
  <c r="X74" i="20" s="1"/>
  <c r="I74" i="20" l="1"/>
  <c r="J74" i="20" s="1"/>
  <c r="K74" i="20" s="1"/>
  <c r="L74" i="20" s="1"/>
  <c r="S74" i="20"/>
  <c r="I74" i="23"/>
  <c r="J74" i="23" s="1"/>
  <c r="K74" i="23" s="1"/>
  <c r="L74" i="23" s="1"/>
  <c r="S74" i="23"/>
  <c r="Y76" i="26"/>
  <c r="AQ73" i="23"/>
  <c r="AP78" i="26"/>
  <c r="L34" i="8"/>
  <c r="T34" i="8" s="1"/>
  <c r="AQ73" i="20"/>
  <c r="AO76" i="20"/>
  <c r="AQ73" i="26"/>
  <c r="AQ76" i="26" s="1"/>
  <c r="AO76" i="26"/>
  <c r="BL73" i="23"/>
  <c r="BL73" i="20"/>
  <c r="BL73" i="26"/>
  <c r="Z74" i="20" l="1"/>
  <c r="AH74" i="20" s="1"/>
  <c r="Z74" i="23"/>
  <c r="I86" i="26"/>
  <c r="S76" i="26"/>
  <c r="Z76" i="26" s="1"/>
  <c r="I77" i="26" s="1"/>
  <c r="AD74" i="20" l="1"/>
  <c r="BK74" i="20"/>
  <c r="BA74" i="20"/>
  <c r="AA74" i="20"/>
  <c r="AB74" i="20" s="1"/>
  <c r="AC74" i="20" s="1"/>
  <c r="AM74" i="20"/>
  <c r="AJ74" i="20"/>
  <c r="AK74" i="20"/>
  <c r="AV74" i="20"/>
  <c r="AW74" i="20"/>
  <c r="AY74" i="20"/>
  <c r="AZ74" i="20"/>
  <c r="AN74" i="20"/>
  <c r="AT74" i="20"/>
  <c r="BA74" i="23"/>
  <c r="BK74" i="23"/>
  <c r="AA74" i="23"/>
  <c r="AB74" i="23" s="1"/>
  <c r="AC74" i="23" s="1"/>
  <c r="AD74" i="23"/>
  <c r="AJ74" i="23"/>
  <c r="AN74" i="23"/>
  <c r="AM74" i="23"/>
  <c r="AK74" i="23"/>
  <c r="AT74" i="23"/>
  <c r="AH74" i="23"/>
  <c r="I78" i="26"/>
  <c r="L29" i="8" s="1"/>
  <c r="T29" i="8" s="1"/>
  <c r="L28" i="8"/>
  <c r="T28" i="8" s="1"/>
  <c r="I79" i="26"/>
  <c r="L30" i="8" s="1"/>
  <c r="T30" i="8" s="1"/>
  <c r="AP74" i="20" l="1"/>
  <c r="BG74" i="20"/>
  <c r="E75" i="20" s="1"/>
  <c r="V75" i="20" s="1"/>
  <c r="BD74" i="20"/>
  <c r="BJ74" i="20"/>
  <c r="H75" i="20" s="1"/>
  <c r="Y75" i="20" s="1"/>
  <c r="BI74" i="20"/>
  <c r="G75" i="20" s="1"/>
  <c r="X75" i="20" s="1"/>
  <c r="BF74" i="20"/>
  <c r="D75" i="20" s="1"/>
  <c r="U75" i="20" s="1"/>
  <c r="AO74" i="20"/>
  <c r="AQ74" i="20" s="1"/>
  <c r="BG74" i="23"/>
  <c r="E75" i="23" s="1"/>
  <c r="V75" i="23" s="1"/>
  <c r="BJ74" i="23"/>
  <c r="H75" i="23" s="1"/>
  <c r="Y75" i="23" s="1"/>
  <c r="BD74" i="23"/>
  <c r="BI74" i="23"/>
  <c r="G75" i="23" s="1"/>
  <c r="X75" i="23" s="1"/>
  <c r="BF74" i="23"/>
  <c r="D75" i="23" s="1"/>
  <c r="U75" i="23" s="1"/>
  <c r="AP74" i="23"/>
  <c r="AO74" i="23"/>
  <c r="AN76" i="26"/>
  <c r="AN78" i="26" s="1"/>
  <c r="D76" i="26"/>
  <c r="H76" i="26"/>
  <c r="E76" i="26"/>
  <c r="G76" i="26"/>
  <c r="AQ74" i="23" l="1"/>
  <c r="Y76" i="20"/>
  <c r="BL74" i="20"/>
  <c r="B75" i="20"/>
  <c r="X76" i="20"/>
  <c r="U76" i="20"/>
  <c r="V76" i="20"/>
  <c r="X76" i="23"/>
  <c r="BL74" i="23"/>
  <c r="B75" i="23"/>
  <c r="Y76" i="23"/>
  <c r="U76" i="23"/>
  <c r="V76" i="23"/>
  <c r="L35" i="8"/>
  <c r="I88" i="26"/>
  <c r="B76" i="26"/>
  <c r="I76" i="26" s="1"/>
  <c r="D36" i="8"/>
  <c r="I75" i="20" l="1"/>
  <c r="S75" i="20"/>
  <c r="I75" i="23"/>
  <c r="S75" i="23"/>
  <c r="T35" i="8"/>
  <c r="L27" i="8"/>
  <c r="T27" i="8" s="1"/>
  <c r="I83" i="26"/>
  <c r="I84" i="26"/>
  <c r="Z75" i="20" l="1"/>
  <c r="S76" i="20"/>
  <c r="Z76" i="20" s="1"/>
  <c r="I77" i="20" s="1"/>
  <c r="J75" i="20"/>
  <c r="K75" i="20" s="1"/>
  <c r="L75" i="20" s="1"/>
  <c r="I86" i="20"/>
  <c r="Z75" i="23"/>
  <c r="AH75" i="23"/>
  <c r="S76" i="23"/>
  <c r="J75" i="23"/>
  <c r="K75" i="23" s="1"/>
  <c r="L75" i="23" s="1"/>
  <c r="I86" i="23"/>
  <c r="I79" i="20" l="1"/>
  <c r="I30" i="8" s="1"/>
  <c r="I28" i="8"/>
  <c r="AT75" i="20"/>
  <c r="BA75" i="20"/>
  <c r="AA75" i="20"/>
  <c r="AB75" i="20" s="1"/>
  <c r="AC75" i="20" s="1"/>
  <c r="I78" i="20" s="1"/>
  <c r="I29" i="8" s="1"/>
  <c r="BK75" i="20"/>
  <c r="AD75" i="20"/>
  <c r="AN75" i="20"/>
  <c r="AN76" i="20" s="1"/>
  <c r="AN78" i="20" s="1"/>
  <c r="AV75" i="20"/>
  <c r="AW75" i="20"/>
  <c r="AM75" i="20"/>
  <c r="AM76" i="20" s="1"/>
  <c r="AJ75" i="20"/>
  <c r="AJ76" i="20" s="1"/>
  <c r="AY75" i="20"/>
  <c r="AK75" i="20"/>
  <c r="AZ75" i="20"/>
  <c r="AH75" i="20"/>
  <c r="AH76" i="23"/>
  <c r="AT75" i="23"/>
  <c r="BK75" i="23"/>
  <c r="AD75" i="23"/>
  <c r="BA75" i="23"/>
  <c r="AA75" i="23"/>
  <c r="AB75" i="23" s="1"/>
  <c r="AC75" i="23" s="1"/>
  <c r="I78" i="23" s="1"/>
  <c r="Z76" i="23"/>
  <c r="I77" i="23" s="1"/>
  <c r="I79" i="23" s="1"/>
  <c r="AM75" i="23"/>
  <c r="AM76" i="23" s="1"/>
  <c r="AJ75" i="23"/>
  <c r="AJ76" i="23" s="1"/>
  <c r="AN75" i="23"/>
  <c r="AK75" i="23"/>
  <c r="BJ75" i="20" l="1"/>
  <c r="H76" i="20" s="1"/>
  <c r="BG75" i="20"/>
  <c r="E76" i="20" s="1"/>
  <c r="BD75" i="20"/>
  <c r="BI75" i="20"/>
  <c r="G76" i="20" s="1"/>
  <c r="BF75" i="20"/>
  <c r="D76" i="20" s="1"/>
  <c r="AO75" i="20"/>
  <c r="AP75" i="20"/>
  <c r="AP76" i="20" s="1"/>
  <c r="AP78" i="20" s="1"/>
  <c r="AH76" i="20"/>
  <c r="AN76" i="23"/>
  <c r="I88" i="23" s="1"/>
  <c r="AP75" i="23"/>
  <c r="AP76" i="23" s="1"/>
  <c r="BD75" i="23"/>
  <c r="BF75" i="23"/>
  <c r="D76" i="23" s="1"/>
  <c r="BJ75" i="23"/>
  <c r="H76" i="23" s="1"/>
  <c r="BG75" i="23"/>
  <c r="E76" i="23" s="1"/>
  <c r="BI75" i="23"/>
  <c r="G76" i="23" s="1"/>
  <c r="AO75" i="23"/>
  <c r="AN78" i="23" l="1"/>
  <c r="B76" i="20"/>
  <c r="I76" i="20" s="1"/>
  <c r="BL75" i="20"/>
  <c r="AQ75" i="20"/>
  <c r="AQ76" i="20" s="1"/>
  <c r="B76" i="23"/>
  <c r="I76" i="23" s="1"/>
  <c r="BL75" i="23"/>
  <c r="I87" i="23"/>
  <c r="AP78" i="23"/>
  <c r="AQ75" i="23"/>
  <c r="AQ76" i="23" s="1"/>
  <c r="AO76" i="23"/>
  <c r="I84" i="20" l="1"/>
  <c r="I27" i="8"/>
  <c r="I83" i="20"/>
  <c r="I84" i="23"/>
  <c r="I83" i="23"/>
  <c r="Z76" i="21" l="1"/>
  <c r="I77" i="21" s="1"/>
  <c r="I79" i="21" s="1"/>
  <c r="C30" i="8" s="1"/>
  <c r="H76" i="21"/>
  <c r="I76" i="21"/>
  <c r="I84" i="21" s="1"/>
  <c r="I83" i="21" l="1"/>
  <c r="H30" i="8"/>
  <c r="G30" i="8"/>
  <c r="R30" i="8"/>
  <c r="C27" i="8"/>
  <c r="C28" i="8"/>
  <c r="G28" i="8" l="1"/>
  <c r="R28" i="8"/>
  <c r="H28" i="8"/>
  <c r="K27" i="8"/>
  <c r="G27" i="8"/>
  <c r="R27" i="8"/>
  <c r="H27" i="8"/>
</calcChain>
</file>

<file path=xl/sharedStrings.xml><?xml version="1.0" encoding="utf-8"?>
<sst xmlns="http://schemas.openxmlformats.org/spreadsheetml/2006/main" count="895" uniqueCount="184">
  <si>
    <t>Instructions</t>
  </si>
  <si>
    <t>General Instructions</t>
  </si>
  <si>
    <t>When a new year of data is added, new rows must be added to all spreadsheets</t>
  </si>
  <si>
    <t>Adjust return and standard deviation calculations to reflect addition of new year</t>
  </si>
  <si>
    <t>All items shaded in Orange are manually adjusted; all other are based on formulas</t>
  </si>
  <si>
    <t>Rebalancing is done manually; including blue shading of cells</t>
  </si>
  <si>
    <t>Return calculations, including standard deviation, need to be manually adjusted each year</t>
  </si>
  <si>
    <t>Largest annual loss and drawdown based on 2008, manually adjust as necessary</t>
  </si>
  <si>
    <t xml:space="preserve">VTRIX (actively-managed) balance changed fully to VGTSX (passively managed) in 1996. </t>
  </si>
  <si>
    <t>Non-Rebalanced Portfolio</t>
  </si>
  <si>
    <t>Table</t>
  </si>
  <si>
    <t>Annual return information for funds; changes in NAV pulled from AAII Mutual Fund Guide; source of data is Morningstar.</t>
  </si>
  <si>
    <t>End of year performance for non-rebalance portfolio based solely on annual fund performance.  Manually adjust standard deviation for number of periods</t>
  </si>
  <si>
    <t>Portfolio allocations - per fund dollar amount divided by portfolio's total balance</t>
  </si>
  <si>
    <t>Rebalanced Portfolio</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</si>
  <si>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</si>
  <si>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</si>
  <si>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</si>
  <si>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</si>
  <si>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</si>
  <si>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</si>
  <si>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End of year performance calculated as balances from prior year (table 4) times fund return for current year (table 1). 1988 end of year balance based solely on annual fund performance.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</si>
  <si>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</si>
  <si>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</si>
  <si>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4.5% &amp; 4% Withdrawals-No Rebalancing</t>
  </si>
  <si>
    <t>1A</t>
  </si>
  <si>
    <t>CPI Data downloaded from Econostats. Most current data is preliminary; all other is end of year</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</si>
  <si>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</si>
  <si>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4.5% (4%) of year-end 1988 balance. Initial amount is adjusted upwards annually based on change in CPI using data in Table 1A</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</si>
  <si>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</si>
  <si>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Post-withdrawal portfolio allocations - per fund dollar amount divided by portfolio's total balance from Table 4.</t>
  </si>
  <si>
    <t>4.5% and 4% Withdrawals-Rebalancing</t>
  </si>
  <si>
    <t>CPI Data pulled from 4.5%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</si>
  <si>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</si>
  <si>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4.5% (4%) of year-end 1988 balance. Initial amount is adjusted upwards annually based on change in CPI using data in Table 1A.</t>
  </si>
  <si>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</si>
  <si>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Used for rebalancing the portfolio. Numbers pull from Table 4 unless rebalancing is necessary. If rebalancing is necessary, allocations are adjusted back to targets for all funds. Rebalanced cells are shaded in blue. Balance check should always equal $0.00</t>
  </si>
  <si>
    <t>4.5% and 4% Withdrawals-Panic</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</si>
  <si>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</si>
  <si>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</si>
  <si>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</si>
  <si>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</si>
  <si>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</si>
  <si>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</si>
  <si>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</si>
  <si>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</si>
  <si>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</si>
  <si>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Notes</t>
  </si>
  <si>
    <t>Return data from Morningstar; available in truncated form in AAII's Mutual Fund Guide</t>
  </si>
  <si>
    <t>Funds Used:</t>
  </si>
  <si>
    <t>1988 first calendar year with full-year data for VEXMX</t>
  </si>
  <si>
    <t>Extended Market (VEXMX) has both mid &amp; small-cap stocks; rotated out of it when VIMSX available</t>
  </si>
  <si>
    <t>Index funds used as much as possible to limit impact of active management</t>
  </si>
  <si>
    <t>Small Cap (NAESX) data available from 1988, but not Mid Cap (VIMSX)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</si>
  <si>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</si>
  <si>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</si>
  <si>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</si>
  <si>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Effective 2018 - Admiral Shares used for all funds to reflect change by Vanguard; investor class used for 1988-2017</t>
  </si>
  <si>
    <t>Tickers listed in lines 6-13 are for Investor Shares; Admiral Share tickers displayed at top of spreadsheets now</t>
  </si>
  <si>
    <t>Allocations:</t>
  </si>
  <si>
    <t>Allocations based on AAII Moderate Allocation Model (http://www.aaii.com/asset-allocation)</t>
  </si>
  <si>
    <t>Large-Cap Stocks</t>
  </si>
  <si>
    <t>Mid-Cap Stocks</t>
  </si>
  <si>
    <t>Small-Cap Stocks</t>
  </si>
  <si>
    <t>International Stocks</t>
  </si>
  <si>
    <t>Emerging Stocks (*Merged into International in models because allocation is too small for withdrawals)</t>
  </si>
  <si>
    <t>Bonds</t>
  </si>
  <si>
    <t>Total</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</si>
  <si>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</si>
  <si>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</si>
  <si>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</si>
  <si>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</si>
  <si>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</si>
  <si>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</si>
  <si>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</si>
  <si>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</si>
  <si>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CPI Data from Econostats thru 2013, data from FRED for 2014 forward used</t>
  </si>
  <si>
    <t>https://research.stlouisfed.org/fred2/series/CPIAUCSL</t>
  </si>
  <si>
    <t>CPI  (CPI-U - US city average all urban consumers ) seas adj data used</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</si>
  <si>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</si>
  <si>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</si>
  <si>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</si>
  <si>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Content in shaded in Orange is manually entered or adjusted</t>
  </si>
  <si>
    <t>Table 1. Performance of the Three Strategies</t>
  </si>
  <si>
    <t>Portfolio Strategy</t>
  </si>
  <si>
    <t>Rebalance at 5% Thresholds</t>
  </si>
  <si>
    <t>No Rebalancing</t>
  </si>
  <si>
    <t>Panic and Sell When S&amp;P 500 Falls &gt; 20%</t>
  </si>
  <si>
    <t>Rebalance vs Panic</t>
  </si>
  <si>
    <t>No Change vs Panic</t>
  </si>
  <si>
    <t>Rebalance vs Not Rebalancing</t>
  </si>
  <si>
    <t>Rebalancing Annually</t>
  </si>
  <si>
    <t>60/40 Allocation</t>
  </si>
  <si>
    <t>S&amp;P 500 Only</t>
  </si>
  <si>
    <t>Ending Portfolio Value</t>
  </si>
  <si>
    <t>Total Return</t>
  </si>
  <si>
    <t>Standard Deviation</t>
  </si>
  <si>
    <t>Annualized Return</t>
  </si>
  <si>
    <t>Largest Drawdown</t>
  </si>
  <si>
    <t>Largest Annual Loss</t>
  </si>
  <si>
    <t>Ending Equity Allocation</t>
  </si>
  <si>
    <t>Ending Fixed-Income Allocation</t>
  </si>
  <si>
    <t>Allocation Check</t>
  </si>
  <si>
    <t>Total Withdrawals</t>
  </si>
  <si>
    <t>1. Return Data from Morningstar</t>
  </si>
  <si>
    <t>LC Stocks</t>
  </si>
  <si>
    <t>Ext Mkt</t>
  </si>
  <si>
    <t>Mcap Stk</t>
  </si>
  <si>
    <t>Small Cap</t>
  </si>
  <si>
    <t>Intl Val</t>
  </si>
  <si>
    <t>Tot Int Stk</t>
  </si>
  <si>
    <t>Year</t>
  </si>
  <si>
    <t>VFIAX</t>
  </si>
  <si>
    <t>VEXMX</t>
  </si>
  <si>
    <t>VIMAX</t>
  </si>
  <si>
    <t>VSMAX</t>
  </si>
  <si>
    <t>VTRIX</t>
  </si>
  <si>
    <t>VTIAX</t>
  </si>
  <si>
    <t>VBTLX</t>
  </si>
  <si>
    <t>2. Non-Rebalanced Strategy - End of Year Balance</t>
  </si>
  <si>
    <t>3. Non-Rebalanced Strategy Annual Allocations</t>
  </si>
  <si>
    <t xml:space="preserve">Gain / </t>
  </si>
  <si>
    <t>Annual</t>
  </si>
  <si>
    <t>GEOMean</t>
  </si>
  <si>
    <t>Equity</t>
  </si>
  <si>
    <t>Allocation</t>
  </si>
  <si>
    <t>Fund</t>
  </si>
  <si>
    <t>Loss</t>
  </si>
  <si>
    <t>Return</t>
  </si>
  <si>
    <t>Check</t>
  </si>
  <si>
    <t>Stating Balance</t>
  </si>
  <si>
    <t>Target Allocation</t>
  </si>
  <si>
    <t>Ending</t>
  </si>
  <si>
    <t>Total Return</t>
    <phoneticPr fontId="0" type="noConversion"/>
  </si>
  <si>
    <t>Equals Most Recent Year</t>
  </si>
  <si>
    <t>Annualized Return</t>
    <phoneticPr fontId="0" type="noConversion"/>
  </si>
  <si>
    <t>Largest Annual Loss (2008)</t>
  </si>
  <si>
    <t xml:space="preserve">Balance Check </t>
  </si>
  <si>
    <t>Gain/Loss Check</t>
  </si>
  <si>
    <t>Number of Years</t>
  </si>
  <si>
    <t>2. Rebalanced Strategy (5% Triggers) - End of Year Balance</t>
  </si>
  <si>
    <t>3. Allocations prior to Rebalancing</t>
  </si>
  <si>
    <t>4. Allocations Test - False Values Signal Rebalancing Needed</t>
  </si>
  <si>
    <t>5. Rebalance Grid</t>
  </si>
  <si>
    <t>Balance</t>
  </si>
  <si>
    <t>Times Rebalanced</t>
  </si>
  <si>
    <t>Total Years</t>
  </si>
  <si>
    <t>Average Years between Rebalancing</t>
  </si>
  <si>
    <t>2. Panic Strategy - End of Year Balance</t>
  </si>
  <si>
    <t>3. Panic Strategy - Annual Allocations</t>
  </si>
  <si>
    <t>4. Panic Grid</t>
  </si>
  <si>
    <t>1A. CPI Data</t>
  </si>
  <si>
    <t>CPI</t>
  </si>
  <si>
    <t>3. Withdrawal Amount</t>
  </si>
  <si>
    <t>4. Non-Rebalanced Strategy - Withdrawal Equal Amounts from All Funds</t>
  </si>
  <si>
    <t>5. Non-Rebalanced Strategy - Annual Allocations</t>
  </si>
  <si>
    <t>Final</t>
  </si>
  <si>
    <t>Total Return (Post Withdrawals)</t>
  </si>
  <si>
    <t>Standard Deviation (Post Withdrawals)</t>
  </si>
  <si>
    <t>Annualized Return (Post Withdrawals)</t>
  </si>
  <si>
    <t>Withdrawal Check</t>
  </si>
  <si>
    <t>4. Rebalanced Strategy - Withdrawal Equal Amounts from All Funds</t>
  </si>
  <si>
    <t>5. Rebalanced Strategy - Annual Allocations</t>
  </si>
  <si>
    <t>6. Allocations Test - False Values Signal Rebalancing Needed</t>
  </si>
  <si>
    <t>7. Rebalanced Strategy (5% Triggers) - Rebalance Grid</t>
  </si>
  <si>
    <t>Balance Check</t>
    <phoneticPr fontId="11" type="noConversion"/>
  </si>
  <si>
    <t>2. Annual Rebalance (5% Triggers) - End of Year Balance</t>
  </si>
  <si>
    <t>4. Annual Rebalance - Withdrawal Equal Amounts from All Funds</t>
  </si>
  <si>
    <t>5. Annual Rebalance - Annual Allocations</t>
  </si>
  <si>
    <t>7. Annual Rebalance - Rebalance Grid</t>
  </si>
  <si>
    <t>4. Panic Strategy - Withdrawal Equal Amounts from All Funds</t>
  </si>
  <si>
    <t>5. Panic Strategy - Annual Allocations</t>
  </si>
  <si>
    <t>6. Panic Grid</t>
  </si>
  <si>
    <t>Not Rebalanced</t>
  </si>
  <si>
    <t>Number of Periods</t>
  </si>
  <si>
    <t>4. Non-Rebalanced Strategy - Withdrawal Annually</t>
  </si>
  <si>
    <t>Panic and Selll When S&amp;P 500 Falls +20%</t>
  </si>
  <si>
    <t>Starting</t>
  </si>
  <si>
    <t>Data Check</t>
  </si>
  <si>
    <t>Ending Bond Allocation</t>
  </si>
  <si>
    <t>The moderate portfolio allocation was changed at the start of 2021. The revised allocations are below.</t>
  </si>
  <si>
    <t>Non-Withdrawal Portfolio Results (1988 - 2020)</t>
  </si>
  <si>
    <t>Withdrawal Portfolio Results (1988 - 2020)</t>
  </si>
  <si>
    <t>VEMX split 60% into VIMSX (mid-cap index) and 40% into NAESX (small-cap index) in 1998.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</si>
</sst>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0.0%"/>
    <numFmt numFmtId="165" formatCode="0.0%;[Red]\(0.0%\)"/>
    <numFmt numFmtId="166"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
      <patternFill patternType="solid">
        <fgColor theme="0" tint="-4.9989318521683403E-2"/>
        <bgColor indexed="64"/>
      </patternFill>
    </fill>
    <fill>
      <patternFill patternType="solid">
        <fgColor theme="9" tint="0.7999816888943144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01">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10" fontId="5" fillId="0" borderId="0" xfId="0" applyNumberFormat="1" applyFont="1"/>
    <xf numFmtId="0" fontId="0" fillId="0" borderId="1" xfId="0" applyFill="1" applyBorder="1" applyAlignment="1">
      <alignment horizontal="right"/>
    </xf>
    <xf numFmtId="0" fontId="5" fillId="4" borderId="0" xfId="0" applyFont="1" applyFill="1"/>
    <xf numFmtId="165" fontId="0" fillId="0" borderId="0" xfId="1" applyNumberFormat="1" applyFont="1"/>
    <xf numFmtId="0" fontId="2" fillId="0" borderId="0" xfId="0" applyFont="1"/>
    <xf numFmtId="6" fontId="2" fillId="0" borderId="0" xfId="0" applyNumberFormat="1" applyFont="1"/>
    <xf numFmtId="164" fontId="2" fillId="0" borderId="0" xfId="0" applyNumberFormat="1" applyFont="1"/>
    <xf numFmtId="166" fontId="0" fillId="0" borderId="0" xfId="0" applyNumberFormat="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6" fontId="0" fillId="2" borderId="1" xfId="0" applyNumberFormat="1" applyFill="1" applyBorder="1"/>
    <xf numFmtId="44" fontId="0" fillId="2" borderId="0" xfId="3" applyNumberFormat="1" applyFont="1" applyFill="1"/>
    <xf numFmtId="164" fontId="0" fillId="10" borderId="0" xfId="0" applyNumberFormat="1" applyFill="1"/>
    <xf numFmtId="0" fontId="0" fillId="10" borderId="0" xfId="0" applyFill="1"/>
    <xf numFmtId="0" fontId="0" fillId="11" borderId="0" xfId="0" applyFill="1"/>
    <xf numFmtId="0" fontId="0" fillId="11" borderId="2" xfId="0" applyFill="1" applyBorder="1" applyAlignment="1">
      <alignment horizontal="right" wrapText="1"/>
    </xf>
    <xf numFmtId="0" fontId="0" fillId="11" borderId="1" xfId="0" applyFill="1" applyBorder="1"/>
    <xf numFmtId="164" fontId="0" fillId="11" borderId="0" xfId="1" applyNumberFormat="1" applyFont="1" applyFill="1" applyBorder="1"/>
    <xf numFmtId="0" fontId="0" fillId="11" borderId="0" xfId="0" applyFill="1" applyBorder="1"/>
  </cellXfs>
  <cellStyles count="4">
    <cellStyle name="Currency" xfId="3" builtinId="4"/>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 Data'!$B$1</c:f>
              <c:strCache>
                <c:ptCount val="1"/>
                <c:pt idx="0">
                  <c:v>Rebalance at 5% Thresholds</c:v>
                </c:pt>
              </c:strCache>
            </c:strRef>
          </c:tx>
          <c:spPr>
            <a:ln w="50800"/>
          </c:spPr>
          <c:marker>
            <c:symbol val="none"/>
          </c:marker>
          <c:cat>
            <c:strRef>
              <c:f>'Chart Data'!$A$2:$A$35</c:f>
              <c:strCache>
                <c:ptCount val="34"/>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strCache>
            </c:strRef>
          </c:cat>
          <c:val>
            <c:numRef>
              <c:f>'Chart Data'!$B$2:$B$35</c:f>
              <c:numCache>
                <c:formatCode>"$"#,##0_);[Red]\("$"#,##0\)</c:formatCode>
                <c:ptCount val="34"/>
                <c:pt idx="0">
                  <c:v>100000</c:v>
                </c:pt>
                <c:pt idx="1">
                  <c:v>113937.44999999998</c:v>
                </c:pt>
                <c:pt idx="2">
                  <c:v>138924.51883700001</c:v>
                </c:pt>
                <c:pt idx="3">
                  <c:v>134162.3745174958</c:v>
                </c:pt>
                <c:pt idx="4">
                  <c:v>166492.77240502308</c:v>
                </c:pt>
                <c:pt idx="5">
                  <c:v>177466.11826133705</c:v>
                </c:pt>
                <c:pt idx="6">
                  <c:v>201295.68735613106</c:v>
                </c:pt>
                <c:pt idx="7">
                  <c:v>200247.66427961711</c:v>
                </c:pt>
                <c:pt idx="8">
                  <c:v>249625.03370918153</c:v>
                </c:pt>
                <c:pt idx="9">
                  <c:v>280794.67892716307</c:v>
                </c:pt>
                <c:pt idx="10">
                  <c:v>328444.131967708</c:v>
                </c:pt>
                <c:pt idx="11">
                  <c:v>374377.32409860077</c:v>
                </c:pt>
                <c:pt idx="12">
                  <c:v>423080.07019058778</c:v>
                </c:pt>
                <c:pt idx="13">
                  <c:v>430893.95595376159</c:v>
                </c:pt>
                <c:pt idx="14">
                  <c:v>423541.68251196737</c:v>
                </c:pt>
                <c:pt idx="15">
                  <c:v>394509.35631964699</c:v>
                </c:pt>
                <c:pt idx="16">
                  <c:v>485337.63993447565</c:v>
                </c:pt>
                <c:pt idx="17">
                  <c:v>543637.36791868473</c:v>
                </c:pt>
                <c:pt idx="18">
                  <c:v>583809.98289386043</c:v>
                </c:pt>
                <c:pt idx="19">
                  <c:v>660707.60885109031</c:v>
                </c:pt>
                <c:pt idx="20">
                  <c:v>708232.63750955369</c:v>
                </c:pt>
                <c:pt idx="21">
                  <c:v>552402.92732274416</c:v>
                </c:pt>
                <c:pt idx="22">
                  <c:v>678480.88564171433</c:v>
                </c:pt>
                <c:pt idx="23">
                  <c:v>772172.3111399787</c:v>
                </c:pt>
                <c:pt idx="24">
                  <c:v>775492.31148047606</c:v>
                </c:pt>
                <c:pt idx="25">
                  <c:v>865698.2189665779</c:v>
                </c:pt>
                <c:pt idx="26">
                  <c:v>1022883.7702105971</c:v>
                </c:pt>
                <c:pt idx="27">
                  <c:v>1095989.2732675485</c:v>
                </c:pt>
                <c:pt idx="28">
                  <c:v>1087073.1800469202</c:v>
                </c:pt>
                <c:pt idx="29">
                  <c:v>1170462.6035305017</c:v>
                </c:pt>
                <c:pt idx="30">
                  <c:v>1340611.9849466528</c:v>
                </c:pt>
                <c:pt idx="31">
                  <c:v>1267548.6317670601</c:v>
                </c:pt>
                <c:pt idx="32">
                  <c:v>1521593.8926582215</c:v>
                </c:pt>
                <c:pt idx="33">
                  <c:v>1725108.3002474855</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spPr>
            <a:ln w="50800"/>
          </c:spPr>
          <c:marker>
            <c:symbol val="none"/>
          </c:marker>
          <c:cat>
            <c:strRef>
              <c:f>'Chart Data'!$A$2:$A$35</c:f>
              <c:strCache>
                <c:ptCount val="34"/>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strCache>
            </c:strRef>
          </c:cat>
          <c:val>
            <c:numRef>
              <c:f>'Chart Data'!$C$2:$C$35</c:f>
              <c:numCache>
                <c:formatCode>"$"#,##0_);[Red]\("$"#,##0\)</c:formatCode>
                <c:ptCount val="34"/>
                <c:pt idx="0">
                  <c:v>100000</c:v>
                </c:pt>
                <c:pt idx="1">
                  <c:v>113937.44999999998</c:v>
                </c:pt>
                <c:pt idx="2">
                  <c:v>138924.51883700001</c:v>
                </c:pt>
                <c:pt idx="3">
                  <c:v>134162.3745174958</c:v>
                </c:pt>
                <c:pt idx="4">
                  <c:v>166492.77240502308</c:v>
                </c:pt>
                <c:pt idx="5">
                  <c:v>177466.11826133705</c:v>
                </c:pt>
                <c:pt idx="6">
                  <c:v>201295.68735613106</c:v>
                </c:pt>
                <c:pt idx="7">
                  <c:v>200247.66427961711</c:v>
                </c:pt>
                <c:pt idx="8">
                  <c:v>252131.10406902741</c:v>
                </c:pt>
                <c:pt idx="9">
                  <c:v>286096.75184985995</c:v>
                </c:pt>
                <c:pt idx="10">
                  <c:v>343724.66880773532</c:v>
                </c:pt>
                <c:pt idx="11">
                  <c:v>395982.05923555681</c:v>
                </c:pt>
                <c:pt idx="12">
                  <c:v>457301.36609790509</c:v>
                </c:pt>
                <c:pt idx="13">
                  <c:v>460461.19409359794</c:v>
                </c:pt>
                <c:pt idx="14">
                  <c:v>445369.98724647728</c:v>
                </c:pt>
                <c:pt idx="15">
                  <c:v>395000.0450765593</c:v>
                </c:pt>
                <c:pt idx="16">
                  <c:v>491757.46812382201</c:v>
                </c:pt>
                <c:pt idx="17">
                  <c:v>557230.35821536055</c:v>
                </c:pt>
                <c:pt idx="18">
                  <c:v>600473.59621121315</c:v>
                </c:pt>
                <c:pt idx="19">
                  <c:v>680554.69369403028</c:v>
                </c:pt>
                <c:pt idx="20">
                  <c:v>723247.74520790949</c:v>
                </c:pt>
                <c:pt idx="21">
                  <c:v>510363.9552834091</c:v>
                </c:pt>
                <c:pt idx="22">
                  <c:v>636708.0193713248</c:v>
                </c:pt>
                <c:pt idx="23">
                  <c:v>742247.68948734063</c:v>
                </c:pt>
                <c:pt idx="24">
                  <c:v>742774.85283489816</c:v>
                </c:pt>
                <c:pt idx="25">
                  <c:v>839696.70504605921</c:v>
                </c:pt>
                <c:pt idx="26">
                  <c:v>1037295.8266619229</c:v>
                </c:pt>
                <c:pt idx="27">
                  <c:v>1135710.9769264059</c:v>
                </c:pt>
                <c:pt idx="28">
                  <c:v>1124173.0620151595</c:v>
                </c:pt>
                <c:pt idx="29">
                  <c:v>1240805.6137481972</c:v>
                </c:pt>
                <c:pt idx="30">
                  <c:v>1451683.4884921967</c:v>
                </c:pt>
                <c:pt idx="31">
                  <c:v>1352799.2352593755</c:v>
                </c:pt>
                <c:pt idx="32">
                  <c:v>1704486.3423105704</c:v>
                </c:pt>
                <c:pt idx="33">
                  <c:v>1984570.3068398959</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spPr>
            <a:ln w="50800"/>
          </c:spPr>
          <c:marker>
            <c:symbol val="none"/>
          </c:marker>
          <c:cat>
            <c:strRef>
              <c:f>'Chart Data'!$A$2:$A$35</c:f>
              <c:strCache>
                <c:ptCount val="34"/>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strCache>
            </c:strRef>
          </c:cat>
          <c:val>
            <c:numRef>
              <c:f>'Chart Data'!$D$2:$D$35</c:f>
              <c:numCache>
                <c:formatCode>"$"#,##0_);[Red]\("$"#,##0\)</c:formatCode>
                <c:ptCount val="34"/>
                <c:pt idx="0">
                  <c:v>100000</c:v>
                </c:pt>
                <c:pt idx="1">
                  <c:v>113937.44999999998</c:v>
                </c:pt>
                <c:pt idx="2">
                  <c:v>138924.51883700001</c:v>
                </c:pt>
                <c:pt idx="3">
                  <c:v>134162.3745174958</c:v>
                </c:pt>
                <c:pt idx="4">
                  <c:v>166492.77240502308</c:v>
                </c:pt>
                <c:pt idx="5">
                  <c:v>177466.11826133705</c:v>
                </c:pt>
                <c:pt idx="6">
                  <c:v>201295.68735613106</c:v>
                </c:pt>
                <c:pt idx="7">
                  <c:v>200247.66427961711</c:v>
                </c:pt>
                <c:pt idx="8">
                  <c:v>252131.10406902741</c:v>
                </c:pt>
                <c:pt idx="9">
                  <c:v>286096.75184985995</c:v>
                </c:pt>
                <c:pt idx="10">
                  <c:v>340706.51853548782</c:v>
                </c:pt>
                <c:pt idx="11">
                  <c:v>392492.98697633052</c:v>
                </c:pt>
                <c:pt idx="12">
                  <c:v>441464.20891168597</c:v>
                </c:pt>
                <c:pt idx="13">
                  <c:v>444261.97982426232</c:v>
                </c:pt>
                <c:pt idx="14">
                  <c:v>429838.74183135096</c:v>
                </c:pt>
                <c:pt idx="15">
                  <c:v>382007.50231096765</c:v>
                </c:pt>
                <c:pt idx="16">
                  <c:v>397173.20015271311</c:v>
                </c:pt>
                <c:pt idx="17">
                  <c:v>444882.43930145731</c:v>
                </c:pt>
                <c:pt idx="18">
                  <c:v>477757.46224496409</c:v>
                </c:pt>
                <c:pt idx="19">
                  <c:v>540686.18170241802</c:v>
                </c:pt>
                <c:pt idx="20">
                  <c:v>581291.69205745333</c:v>
                </c:pt>
                <c:pt idx="21">
                  <c:v>432856.91519190761</c:v>
                </c:pt>
                <c:pt idx="22">
                  <c:v>458525.3302627877</c:v>
                </c:pt>
                <c:pt idx="23">
                  <c:v>521843.0931187761</c:v>
                </c:pt>
                <c:pt idx="24">
                  <c:v>524086.78823947103</c:v>
                </c:pt>
                <c:pt idx="25">
                  <c:v>585048.99719337421</c:v>
                </c:pt>
                <c:pt idx="26">
                  <c:v>691276.83400049992</c:v>
                </c:pt>
                <c:pt idx="27">
                  <c:v>746810.16212780285</c:v>
                </c:pt>
                <c:pt idx="28">
                  <c:v>740164.75536437775</c:v>
                </c:pt>
                <c:pt idx="29">
                  <c:v>805674.61732932366</c:v>
                </c:pt>
                <c:pt idx="30">
                  <c:v>933177.61034179572</c:v>
                </c:pt>
                <c:pt idx="31">
                  <c:v>875069.47872640123</c:v>
                </c:pt>
                <c:pt idx="32">
                  <c:v>1080938.1420404923</c:v>
                </c:pt>
                <c:pt idx="33">
                  <c:v>1244561.3533186903</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txPr>
          <a:bodyPr/>
          <a:lstStyle/>
          <a:p>
            <a:pPr>
              <a:defRPr sz="1400" baseline="0"/>
            </a:pPr>
            <a:endParaRPr lang="en-US"/>
          </a:p>
        </c:txPr>
        <c:crossAx val="182273624"/>
        <c:crosses val="autoZero"/>
        <c:crossBetween val="between"/>
        <c:majorUnit val="100000"/>
      </c:valAx>
    </c:plotArea>
    <c:legend>
      <c:legendPos val="b"/>
      <c:overlay val="0"/>
      <c:txPr>
        <a:bodyPr/>
        <a:lstStyle/>
        <a:p>
          <a:pPr>
            <a:defRPr sz="1400" baseline="0"/>
          </a:pPr>
          <a:endParaRPr lang="en-US"/>
        </a:p>
      </c:txPr>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1725108.3002474855</c:v>
                </c:pt>
                <c:pt idx="1">
                  <c:v>1244561.3533186903</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152"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9525</xdr:rowOff>
    </xdr:from>
    <xdr:to>
      <xdr:col>11</xdr:col>
      <xdr:colOff>428625</xdr:colOff>
      <xdr:row>7</xdr:row>
      <xdr:rowOff>69273</xdr:rowOff>
    </xdr:to>
    <xdr:sp macro="" textlink="">
      <xdr:nvSpPr>
        <xdr:cNvPr id="2" name="TextBox 1">
          <a:extLst>
            <a:ext uri="{FF2B5EF4-FFF2-40B4-BE49-F238E27FC236}">
              <a16:creationId xmlns:a16="http://schemas.microsoft.com/office/drawing/2014/main" id="{DFEC0831-27FE-4430-B821-0C0EC12F9427}"/>
            </a:ext>
          </a:extLst>
        </xdr:cNvPr>
        <xdr:cNvSpPr txBox="1"/>
      </xdr:nvSpPr>
      <xdr:spPr>
        <a:xfrm>
          <a:off x="76200" y="390525"/>
          <a:ext cx="7080539" cy="101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The data below shows how rebalancing compares to not rebalancing for portfolios with the same starting allocation. The panic and sell scenarios assume an investor temporarily switches to an allbond allocation for one year whenever the S&amp;P 500 index incurs a calendar-year drop of greater than 20%. The 60/40 and the S&amp;P 500 only portfolios are included to provide comparative benchmarks. The 60/40 portfolio was rebalanced annually to an allocation of 60% large-cap stocks and 40% bonds.</a:t>
          </a:r>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72763" cy="6291513"/>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3" workbookViewId="0">
      <selection activeCell="A12" sqref="A12"/>
    </sheetView>
  </sheetViews>
  <sheetFormatPr baseColWidth="10" defaultColWidth="8.83203125" defaultRowHeight="15" x14ac:dyDescent="0.2"/>
  <cols>
    <col min="2" max="2" width="84.1640625" style="8" customWidth="1"/>
    <col min="4" max="4" width="60.5" customWidth="1"/>
  </cols>
  <sheetData>
    <row r="1" spans="1:4" x14ac:dyDescent="0.2">
      <c r="A1" s="20" t="s">
        <v>0</v>
      </c>
    </row>
    <row r="3" spans="1:4" x14ac:dyDescent="0.2">
      <c r="A3" s="53" t="s">
        <v>1</v>
      </c>
    </row>
    <row r="4" spans="1:4" x14ac:dyDescent="0.2">
      <c r="A4" t="s">
        <v>2</v>
      </c>
    </row>
    <row r="5" spans="1:4" x14ac:dyDescent="0.2">
      <c r="A5" t="s">
        <v>3</v>
      </c>
    </row>
    <row r="6" spans="1:4" x14ac:dyDescent="0.2">
      <c r="A6" t="s">
        <v>4</v>
      </c>
    </row>
    <row r="7" spans="1:4" x14ac:dyDescent="0.2">
      <c r="A7" t="s">
        <v>5</v>
      </c>
    </row>
    <row r="8" spans="1:4" x14ac:dyDescent="0.2">
      <c r="A8" t="s">
        <v>6</v>
      </c>
    </row>
    <row r="9" spans="1:4" x14ac:dyDescent="0.2">
      <c r="A9" t="s">
        <v>7</v>
      </c>
    </row>
    <row r="10" spans="1:4" x14ac:dyDescent="0.2">
      <c r="A10" t="s">
        <v>8</v>
      </c>
    </row>
    <row r="11" spans="1:4" x14ac:dyDescent="0.2">
      <c r="A11" t="s">
        <v>183</v>
      </c>
    </row>
    <row r="14" spans="1:4" x14ac:dyDescent="0.2">
      <c r="A14" s="54" t="s">
        <v>9</v>
      </c>
    </row>
    <row r="15" spans="1:4" x14ac:dyDescent="0.2">
      <c r="A15" s="34" t="s">
        <v>10</v>
      </c>
    </row>
    <row r="16" spans="1:4" ht="32" x14ac:dyDescent="0.2">
      <c r="A16" s="34">
        <v>1</v>
      </c>
      <c r="B16" s="8" t="s">
        <v>11</v>
      </c>
      <c r="C16" s="34"/>
      <c r="D16" s="8"/>
    </row>
    <row r="17" spans="1:4" ht="32" x14ac:dyDescent="0.2">
      <c r="A17" s="34">
        <v>2</v>
      </c>
      <c r="B17" s="8" t="s">
        <v>12</v>
      </c>
      <c r="C17" s="34"/>
      <c r="D17" s="8"/>
    </row>
    <row r="18" spans="1:4" ht="16" x14ac:dyDescent="0.2">
      <c r="A18" s="34">
        <v>3</v>
      </c>
      <c r="B18" s="8" t="s">
        <v>13</v>
      </c>
      <c r="C18" s="34"/>
      <c r="D18" s="8"/>
    </row>
    <row r="19" spans="1:4" x14ac:dyDescent="0.2">
      <c r="A19" s="34"/>
    </row>
    <row r="20" spans="1:4" x14ac:dyDescent="0.2">
      <c r="A20" s="34"/>
    </row>
    <row r="21" spans="1:4" x14ac:dyDescent="0.2">
      <c r="A21" s="55" t="s">
        <v>14</v>
      </c>
    </row>
    <row r="22" spans="1:4" x14ac:dyDescent="0.2">
      <c r="A22" s="34" t="s">
        <v>10</v>
      </c>
    </row>
    <row r="23" spans="1:4" ht="16" x14ac:dyDescent="0.2">
      <c r="A23" s="34">
        <v>1</v>
      </c>
      <c r="B23" s="8" t="s">
        <v>15</v>
      </c>
      <c r="C23" s="34"/>
      <c r="D23" s="8"/>
    </row>
    <row r="24" spans="1:4" ht="48" x14ac:dyDescent="0.2">
      <c r="A24" s="34">
        <v>2</v>
      </c>
      <c r="B24" s="8" t="s">
        <v>16</v>
      </c>
      <c r="C24" s="34"/>
      <c r="D24" s="8"/>
    </row>
    <row r="25" spans="1:4" ht="48" x14ac:dyDescent="0.2">
      <c r="A25" s="34">
        <v>3</v>
      </c>
      <c r="B25" s="8" t="s">
        <v>17</v>
      </c>
      <c r="C25" s="34"/>
      <c r="D25" s="8"/>
    </row>
    <row r="26" spans="1:4" ht="32" x14ac:dyDescent="0.2">
      <c r="A26" s="34">
        <v>4</v>
      </c>
      <c r="B26" s="8" t="s">
        <v>18</v>
      </c>
      <c r="C26" s="34"/>
      <c r="D26" s="8"/>
    </row>
    <row r="27" spans="1:4" ht="48" x14ac:dyDescent="0.2">
      <c r="A27" s="34">
        <v>5</v>
      </c>
      <c r="B27" s="8" t="s">
        <v>19</v>
      </c>
      <c r="C27" s="34"/>
      <c r="D27" s="8"/>
    </row>
    <row r="28" spans="1:4" x14ac:dyDescent="0.2">
      <c r="A28" s="34"/>
    </row>
    <row r="29" spans="1:4" x14ac:dyDescent="0.2">
      <c r="A29" s="34"/>
    </row>
    <row r="30" spans="1:4" x14ac:dyDescent="0.2">
      <c r="A30" s="34"/>
    </row>
    <row r="31" spans="1:4" x14ac:dyDescent="0.2">
      <c r="A31" s="55" t="s">
        <v>20</v>
      </c>
    </row>
    <row r="32" spans="1:4" x14ac:dyDescent="0.2">
      <c r="A32" s="34" t="s">
        <v>10</v>
      </c>
    </row>
    <row r="33" spans="1:4" ht="16" x14ac:dyDescent="0.2">
      <c r="A33" s="34">
        <v>1</v>
      </c>
      <c r="B33" s="8" t="s">
        <v>15</v>
      </c>
      <c r="C33" s="34"/>
      <c r="D33" s="8"/>
    </row>
    <row r="34" spans="1:4" ht="48" x14ac:dyDescent="0.2">
      <c r="A34" s="34">
        <v>2</v>
      </c>
      <c r="B34" s="8" t="s">
        <v>21</v>
      </c>
      <c r="C34" s="34"/>
      <c r="D34" s="8"/>
    </row>
    <row r="35" spans="1:4" ht="48" x14ac:dyDescent="0.2">
      <c r="A35" s="34">
        <v>3</v>
      </c>
      <c r="B35" s="8" t="s">
        <v>22</v>
      </c>
      <c r="C35" s="34"/>
      <c r="D35" s="8"/>
    </row>
    <row r="36" spans="1:4" ht="48" x14ac:dyDescent="0.2">
      <c r="A36" s="34">
        <v>4</v>
      </c>
      <c r="B36" s="8" t="s">
        <v>23</v>
      </c>
      <c r="C36" s="34"/>
      <c r="D36" s="8"/>
    </row>
    <row r="37" spans="1:4" x14ac:dyDescent="0.2">
      <c r="A37" s="34"/>
    </row>
    <row r="38" spans="1:4" x14ac:dyDescent="0.2">
      <c r="A38" s="34"/>
    </row>
    <row r="39" spans="1:4" x14ac:dyDescent="0.2">
      <c r="A39" s="55" t="s">
        <v>24</v>
      </c>
    </row>
    <row r="40" spans="1:4" x14ac:dyDescent="0.2">
      <c r="A40" s="34" t="s">
        <v>10</v>
      </c>
    </row>
    <row r="41" spans="1:4" ht="16" x14ac:dyDescent="0.2">
      <c r="A41" s="34">
        <v>1</v>
      </c>
      <c r="B41" s="8" t="s">
        <v>15</v>
      </c>
      <c r="C41" s="34"/>
      <c r="D41" s="8"/>
    </row>
    <row r="42" spans="1:4" ht="16" x14ac:dyDescent="0.2">
      <c r="A42" s="34" t="s">
        <v>25</v>
      </c>
      <c r="B42" s="8" t="s">
        <v>26</v>
      </c>
      <c r="C42" s="34"/>
      <c r="D42" s="8"/>
    </row>
    <row r="43" spans="1:4" ht="80" x14ac:dyDescent="0.2">
      <c r="A43" s="34">
        <v>2</v>
      </c>
      <c r="B43" s="8" t="s">
        <v>27</v>
      </c>
      <c r="C43" s="34"/>
      <c r="D43" s="8"/>
    </row>
    <row r="44" spans="1:4" ht="32" x14ac:dyDescent="0.2">
      <c r="A44" s="34">
        <v>3</v>
      </c>
      <c r="B44" s="8" t="s">
        <v>28</v>
      </c>
      <c r="C44" s="34"/>
      <c r="D44" s="8"/>
    </row>
    <row r="45" spans="1:4" ht="48" x14ac:dyDescent="0.2">
      <c r="A45" s="34">
        <v>4</v>
      </c>
      <c r="B45" s="8" t="s">
        <v>29</v>
      </c>
      <c r="C45" s="34"/>
      <c r="D45" s="8"/>
    </row>
    <row r="46" spans="1:4" ht="32" x14ac:dyDescent="0.2">
      <c r="A46" s="34">
        <v>5</v>
      </c>
      <c r="B46" s="8" t="s">
        <v>30</v>
      </c>
      <c r="C46" s="34"/>
      <c r="D46" s="8"/>
    </row>
    <row r="47" spans="1:4" x14ac:dyDescent="0.2">
      <c r="A47" s="34"/>
    </row>
    <row r="48" spans="1:4" x14ac:dyDescent="0.2">
      <c r="A48" s="34"/>
    </row>
    <row r="49" spans="1:4" x14ac:dyDescent="0.2">
      <c r="A49" s="55" t="s">
        <v>31</v>
      </c>
    </row>
    <row r="50" spans="1:4" x14ac:dyDescent="0.2">
      <c r="A50" s="34" t="s">
        <v>10</v>
      </c>
    </row>
    <row r="51" spans="1:4" ht="16" x14ac:dyDescent="0.2">
      <c r="A51" s="34">
        <v>1</v>
      </c>
      <c r="B51" s="8" t="s">
        <v>15</v>
      </c>
      <c r="C51" s="34"/>
      <c r="D51" s="8"/>
    </row>
    <row r="52" spans="1:4" ht="16" x14ac:dyDescent="0.2">
      <c r="A52" s="34" t="s">
        <v>25</v>
      </c>
      <c r="B52" s="8" t="s">
        <v>32</v>
      </c>
      <c r="C52" s="34"/>
      <c r="D52" s="8"/>
    </row>
    <row r="53" spans="1:4" ht="80" x14ac:dyDescent="0.2">
      <c r="A53" s="34">
        <v>2</v>
      </c>
      <c r="B53" s="8" t="s">
        <v>33</v>
      </c>
      <c r="C53" s="34"/>
      <c r="D53" s="8"/>
    </row>
    <row r="54" spans="1:4" ht="32" x14ac:dyDescent="0.2">
      <c r="A54" s="34">
        <v>3</v>
      </c>
      <c r="B54" s="8" t="s">
        <v>34</v>
      </c>
      <c r="C54" s="34"/>
      <c r="D54" s="8"/>
    </row>
    <row r="55" spans="1:4" ht="48" x14ac:dyDescent="0.2">
      <c r="A55" s="34">
        <v>4</v>
      </c>
      <c r="B55" s="8" t="s">
        <v>29</v>
      </c>
      <c r="C55" s="34"/>
      <c r="D55" s="8"/>
    </row>
    <row r="56" spans="1:4" ht="48" x14ac:dyDescent="0.2">
      <c r="A56" s="34">
        <v>5</v>
      </c>
      <c r="B56" s="8" t="s">
        <v>35</v>
      </c>
      <c r="C56" s="34"/>
      <c r="D56" s="8"/>
    </row>
    <row r="57" spans="1:4" ht="32" x14ac:dyDescent="0.2">
      <c r="A57" s="34">
        <v>6</v>
      </c>
      <c r="B57" s="8" t="s">
        <v>18</v>
      </c>
      <c r="C57" s="34"/>
      <c r="D57" s="8"/>
    </row>
    <row r="58" spans="1:4" ht="48" x14ac:dyDescent="0.2">
      <c r="A58" s="34">
        <v>7</v>
      </c>
      <c r="B58" s="8" t="s">
        <v>36</v>
      </c>
      <c r="C58" s="34"/>
      <c r="D58" s="8"/>
    </row>
    <row r="61" spans="1:4" x14ac:dyDescent="0.2">
      <c r="A61" s="37" t="s">
        <v>37</v>
      </c>
    </row>
    <row r="62" spans="1:4" x14ac:dyDescent="0.2">
      <c r="A62" s="34" t="s">
        <v>10</v>
      </c>
    </row>
    <row r="63" spans="1:4" ht="16" x14ac:dyDescent="0.2">
      <c r="A63" s="34">
        <v>1</v>
      </c>
      <c r="B63" s="8" t="s">
        <v>15</v>
      </c>
      <c r="C63" s="34"/>
      <c r="D63" s="8"/>
    </row>
    <row r="64" spans="1:4" ht="16" x14ac:dyDescent="0.2">
      <c r="A64" s="34" t="s">
        <v>25</v>
      </c>
      <c r="B64" s="8" t="s">
        <v>32</v>
      </c>
      <c r="C64" s="34"/>
      <c r="D64" s="8"/>
    </row>
    <row r="65" spans="1:4" ht="80" x14ac:dyDescent="0.2">
      <c r="A65" s="34">
        <v>2</v>
      </c>
      <c r="B65" s="8" t="s">
        <v>38</v>
      </c>
      <c r="C65" s="34"/>
      <c r="D65" s="8"/>
    </row>
    <row r="66" spans="1:4" ht="32" x14ac:dyDescent="0.2">
      <c r="A66" s="34">
        <v>3</v>
      </c>
      <c r="B66" s="8" t="s">
        <v>34</v>
      </c>
      <c r="C66" s="34"/>
      <c r="D66" s="8"/>
    </row>
    <row r="67" spans="1:4" ht="64" x14ac:dyDescent="0.2">
      <c r="A67" s="34">
        <v>4</v>
      </c>
      <c r="B67" s="8" t="s">
        <v>39</v>
      </c>
      <c r="C67" s="34"/>
      <c r="D67" s="8"/>
    </row>
    <row r="68" spans="1:4" ht="16" x14ac:dyDescent="0.2">
      <c r="A68" s="34">
        <v>5</v>
      </c>
      <c r="B68" s="8" t="s">
        <v>40</v>
      </c>
      <c r="C68" s="34"/>
      <c r="D68" s="8"/>
    </row>
    <row r="69" spans="1:4" ht="48" x14ac:dyDescent="0.2">
      <c r="A69" s="34">
        <v>6</v>
      </c>
      <c r="B69" s="8" t="s">
        <v>41</v>
      </c>
      <c r="C69" s="34"/>
      <c r="D69" s="8"/>
    </row>
    <row r="70" spans="1:4" x14ac:dyDescent="0.2">
      <c r="C70" s="34"/>
      <c r="D70" s="8"/>
    </row>
    <row r="72" spans="1:4" x14ac:dyDescent="0.2">
      <c r="A72" s="37" t="s">
        <v>42</v>
      </c>
    </row>
    <row r="73" spans="1:4" x14ac:dyDescent="0.2">
      <c r="A73" s="34" t="s">
        <v>10</v>
      </c>
    </row>
    <row r="74" spans="1:4" ht="16" x14ac:dyDescent="0.2">
      <c r="A74" s="34">
        <v>1</v>
      </c>
      <c r="B74" s="8" t="s">
        <v>15</v>
      </c>
    </row>
    <row r="75" spans="1:4" ht="16" x14ac:dyDescent="0.2">
      <c r="A75" s="34" t="s">
        <v>25</v>
      </c>
      <c r="B75" s="8" t="s">
        <v>32</v>
      </c>
    </row>
    <row r="76" spans="1:4" ht="80" x14ac:dyDescent="0.2">
      <c r="A76" s="34">
        <v>2</v>
      </c>
      <c r="B76" s="8" t="s">
        <v>43</v>
      </c>
    </row>
    <row r="77" spans="1:4" ht="32" x14ac:dyDescent="0.2">
      <c r="A77" s="34">
        <v>3</v>
      </c>
      <c r="B77" s="8" t="s">
        <v>44</v>
      </c>
    </row>
    <row r="78" spans="1:4" ht="32" x14ac:dyDescent="0.2">
      <c r="A78" s="34">
        <v>4</v>
      </c>
      <c r="B78" s="8" t="s">
        <v>45</v>
      </c>
    </row>
    <row r="79" spans="1:4" ht="16" x14ac:dyDescent="0.2">
      <c r="A79" s="34">
        <v>5</v>
      </c>
      <c r="B79" s="8" t="s">
        <v>40</v>
      </c>
    </row>
    <row r="80" spans="1:4" ht="16" x14ac:dyDescent="0.2">
      <c r="A80" s="34">
        <v>6</v>
      </c>
      <c r="B80" s="8" t="s">
        <v>46</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90"/>
  <sheetViews>
    <sheetView topLeftCell="A34" zoomScale="90" zoomScaleNormal="90" workbookViewId="0">
      <selection activeCell="D54" sqref="D54"/>
    </sheetView>
  </sheetViews>
  <sheetFormatPr baseColWidth="10" defaultColWidth="8.83203125" defaultRowHeight="15" x14ac:dyDescent="0.2"/>
  <cols>
    <col min="1" max="1" width="25.5" customWidth="1"/>
    <col min="2"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5" t="s">
        <v>111</v>
      </c>
      <c r="O3" s="45" t="s">
        <v>152</v>
      </c>
      <c r="P3" s="44"/>
    </row>
    <row r="4" spans="1:16"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5">
        <v>1988</v>
      </c>
      <c r="O4" s="46">
        <v>4.3999999999999997E-2</v>
      </c>
      <c r="P4" s="44"/>
    </row>
    <row r="5" spans="1:16"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c r="N5" s="45">
        <v>1989</v>
      </c>
      <c r="O5" s="46">
        <v>4.5999999999999999E-2</v>
      </c>
      <c r="P5" s="44"/>
    </row>
    <row r="6" spans="1:16"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c r="N6" s="45">
        <v>1990</v>
      </c>
      <c r="O6" s="46">
        <v>6.3E-2</v>
      </c>
      <c r="P6" s="44"/>
    </row>
    <row r="7" spans="1:16"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5">
        <v>1991</v>
      </c>
      <c r="O7" s="46">
        <v>0.03</v>
      </c>
      <c r="P7" s="44"/>
    </row>
    <row r="8" spans="1:16"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5">
        <v>1992</v>
      </c>
      <c r="O8" s="46">
        <v>0.03</v>
      </c>
      <c r="P8" s="44"/>
    </row>
    <row r="9" spans="1:16"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c r="N9" s="45">
        <v>1993</v>
      </c>
      <c r="O9" s="46">
        <v>2.8000000000000001E-2</v>
      </c>
      <c r="P9" s="44"/>
    </row>
    <row r="10" spans="1:16"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5">
        <v>1994</v>
      </c>
      <c r="O10" s="46">
        <v>2.5999999999999999E-2</v>
      </c>
      <c r="P10" s="44"/>
    </row>
    <row r="11" spans="1:16"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5">
        <v>1995</v>
      </c>
      <c r="O11" s="46">
        <v>2.5000000000000001E-2</v>
      </c>
      <c r="P11" s="44"/>
    </row>
    <row r="12" spans="1:16"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5">
        <v>1996</v>
      </c>
      <c r="O12" s="46">
        <v>3.4000000000000002E-2</v>
      </c>
      <c r="P12" s="44"/>
    </row>
    <row r="13" spans="1:16"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5">
        <v>1997</v>
      </c>
      <c r="O13" s="46">
        <v>1.7000000000000001E-2</v>
      </c>
      <c r="P13" s="44"/>
    </row>
    <row r="14" spans="1:16"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5">
        <v>1998</v>
      </c>
      <c r="O14" s="46">
        <v>1.6E-2</v>
      </c>
      <c r="P14" s="44"/>
    </row>
    <row r="15" spans="1:16"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5">
        <v>1999</v>
      </c>
      <c r="O15" s="46">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5">
        <v>2000</v>
      </c>
      <c r="O16" s="46">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5">
        <v>2001</v>
      </c>
      <c r="O17" s="46">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5">
        <v>2002</v>
      </c>
      <c r="O18" s="46">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5">
        <v>2003</v>
      </c>
      <c r="O19" s="46">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5">
        <v>2004</v>
      </c>
      <c r="O20" s="46">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5">
        <v>2005</v>
      </c>
      <c r="O21" s="46">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5">
        <v>2006</v>
      </c>
      <c r="O22" s="46">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5">
        <v>2007</v>
      </c>
      <c r="O23" s="46">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5">
        <v>2008</v>
      </c>
      <c r="O24" s="46">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5">
        <v>2009</v>
      </c>
      <c r="O25" s="46">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5">
        <v>2010</v>
      </c>
      <c r="O26" s="46">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5">
        <v>2011</v>
      </c>
      <c r="O27" s="46">
        <v>0.03</v>
      </c>
    </row>
    <row r="28" spans="1:16"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5">
        <v>2012</v>
      </c>
      <c r="O28" s="46">
        <v>1.7999999999999999E-2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5">
        <v>2013</v>
      </c>
      <c r="O29" s="46">
        <v>1.15559170535223E-2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5">
        <v>2014</v>
      </c>
      <c r="O30" s="46">
        <v>1.29E-2</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5">
        <v>2015</v>
      </c>
      <c r="O31" s="46">
        <v>4.4000000000000003E-3</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5">
        <v>2016</v>
      </c>
      <c r="O32" s="46">
        <v>1.7000000000000001E-2</v>
      </c>
    </row>
    <row r="33" spans="1:42"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4" spans="1:42"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5">
        <v>2018</v>
      </c>
      <c r="O34" s="46">
        <v>2.2088751106458498E-2</v>
      </c>
    </row>
    <row r="35" spans="1:42"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5">
        <v>2019</v>
      </c>
      <c r="O35" s="46">
        <v>2.2862976460393248E-2</v>
      </c>
    </row>
    <row r="36" spans="1:42"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c r="N36" s="45">
        <v>2020</v>
      </c>
      <c r="O36" s="46">
        <v>1.1388082437623485E-2</v>
      </c>
    </row>
    <row r="39" spans="1:42" x14ac:dyDescent="0.2">
      <c r="A39" s="20" t="s">
        <v>119</v>
      </c>
      <c r="N39" s="20" t="s">
        <v>153</v>
      </c>
      <c r="R39" s="20" t="s">
        <v>154</v>
      </c>
      <c r="AF39" s="20" t="s">
        <v>155</v>
      </c>
    </row>
    <row r="40" spans="1:42"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G40" s="4" t="str">
        <f t="shared" ref="AG40:AM41" si="2">B40</f>
        <v>LC Stocks</v>
      </c>
      <c r="AH40" s="4" t="str">
        <f t="shared" si="2"/>
        <v>Ext Mkt</v>
      </c>
      <c r="AI40" s="4" t="str">
        <f t="shared" si="2"/>
        <v>Mcap Stk</v>
      </c>
      <c r="AJ40" s="4" t="str">
        <f t="shared" si="2"/>
        <v>Small Cap</v>
      </c>
      <c r="AK40" s="4" t="str">
        <f t="shared" si="2"/>
        <v>Intl Val</v>
      </c>
      <c r="AL40" s="4" t="str">
        <f t="shared" si="2"/>
        <v>Tot Int Stk</v>
      </c>
      <c r="AM40" s="4" t="str">
        <f t="shared" si="2"/>
        <v>Bonds</v>
      </c>
      <c r="AN40" s="5"/>
      <c r="AO40" s="5" t="s">
        <v>124</v>
      </c>
      <c r="AP40" s="5" t="s">
        <v>125</v>
      </c>
    </row>
    <row r="41" spans="1:42"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F41" t="s">
        <v>126</v>
      </c>
      <c r="AG41" s="4" t="str">
        <f t="shared" si="2"/>
        <v>VFIAX</v>
      </c>
      <c r="AH41" s="4" t="str">
        <f t="shared" si="2"/>
        <v>VEXMX</v>
      </c>
      <c r="AI41" s="4" t="str">
        <f t="shared" si="2"/>
        <v>VIMAX</v>
      </c>
      <c r="AJ41" s="4" t="str">
        <f t="shared" si="2"/>
        <v>VSMAX</v>
      </c>
      <c r="AK41" s="4" t="str">
        <f t="shared" si="2"/>
        <v>VTRIX</v>
      </c>
      <c r="AL41" s="4" t="str">
        <f t="shared" si="2"/>
        <v>VTIAX</v>
      </c>
      <c r="AM41" s="4" t="str">
        <f t="shared" si="2"/>
        <v>VBTLX</v>
      </c>
      <c r="AN41" s="5" t="s">
        <v>67</v>
      </c>
      <c r="AO41" s="5" t="s">
        <v>125</v>
      </c>
      <c r="AP41" s="5" t="s">
        <v>129</v>
      </c>
    </row>
    <row r="42" spans="1:42"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1"/>
        <v>25000</v>
      </c>
      <c r="U42" s="2">
        <f t="shared" si="1"/>
        <v>0</v>
      </c>
      <c r="V42" s="2">
        <f t="shared" si="1"/>
        <v>0</v>
      </c>
      <c r="W42" s="2">
        <f t="shared" si="1"/>
        <v>15000</v>
      </c>
      <c r="X42" s="2">
        <f t="shared" si="1"/>
        <v>0</v>
      </c>
      <c r="Y42" s="2">
        <f t="shared" si="1"/>
        <v>40000</v>
      </c>
      <c r="Z42" s="2">
        <f t="shared" si="1"/>
        <v>100000</v>
      </c>
      <c r="AD42" s="2"/>
      <c r="AF42" s="21" t="s">
        <v>131</v>
      </c>
      <c r="AG42" s="6">
        <f>'Non-Rebalanced Portfolio'!P42</f>
        <v>0.2</v>
      </c>
      <c r="AH42" s="6">
        <f>'Non-Rebalanced Portfolio'!Q42</f>
        <v>0.25</v>
      </c>
      <c r="AI42" s="6">
        <f>'Non-Rebalanced Portfolio'!R42</f>
        <v>0.15</v>
      </c>
      <c r="AJ42" s="6">
        <f>'Non-Rebalanced Portfolio'!S42</f>
        <v>0.1</v>
      </c>
      <c r="AK42" s="6">
        <f>'Non-Rebalanced Portfolio'!T42</f>
        <v>0.15</v>
      </c>
      <c r="AL42" s="6">
        <f>'Non-Rebalanced Portfolio'!U42</f>
        <v>0.15</v>
      </c>
      <c r="AM42" s="6">
        <f>'Non-Rebalanced Portfolio'!V42</f>
        <v>0.4</v>
      </c>
      <c r="AN42" s="6">
        <f>Z42/$Z42</f>
        <v>1</v>
      </c>
      <c r="AO42" s="24"/>
    </row>
    <row r="43" spans="1:42" x14ac:dyDescent="0.2">
      <c r="A43">
        <f t="shared" ref="A43:A73" si="3">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83">
        <f>(J43/I42)</f>
        <v>0.13937449999999982</v>
      </c>
      <c r="L43" s="7">
        <f>K43+1</f>
        <v>1.1393744999999997</v>
      </c>
      <c r="N43">
        <f>A43</f>
        <v>1988</v>
      </c>
      <c r="O43" s="2">
        <f>I43*0.045</f>
        <v>5127.1852499999986</v>
      </c>
      <c r="P43" s="2"/>
      <c r="Q43" s="2"/>
      <c r="R43">
        <f>A43</f>
        <v>1988</v>
      </c>
      <c r="S43" s="2">
        <f>B43-($O43/4)</f>
        <v>21962.203687499998</v>
      </c>
      <c r="T43" s="2">
        <f>C43-($O43/4)</f>
        <v>28654.953687500001</v>
      </c>
      <c r="U43" s="2"/>
      <c r="V43" s="2"/>
      <c r="W43" s="2">
        <f t="shared" ref="W43:W51" si="4">F43-($O43/4)</f>
        <v>16534.903687500002</v>
      </c>
      <c r="X43" s="2"/>
      <c r="Y43" s="2">
        <f>H43-($O43/4)</f>
        <v>41658.20368749999</v>
      </c>
      <c r="Z43" s="2">
        <f>SUM(S43:Y43)</f>
        <v>108810.26474999999</v>
      </c>
      <c r="AA43" s="2">
        <f>Z43-Z42</f>
        <v>8810.2647499999875</v>
      </c>
      <c r="AB43" s="83">
        <f>(AA43/Z42)</f>
        <v>8.8102647499999881E-2</v>
      </c>
      <c r="AC43" s="7">
        <f>AB43+1</f>
        <v>1.0881026475</v>
      </c>
      <c r="AD43" s="2">
        <f>Z43-(I43-O43)</f>
        <v>0</v>
      </c>
      <c r="AF43">
        <f t="shared" ref="AF43:AF71" si="5">A43</f>
        <v>1988</v>
      </c>
      <c r="AG43" s="6">
        <f t="shared" ref="AG43:AH57" si="6">S43/$Z43</f>
        <v>0.20183944720619751</v>
      </c>
      <c r="AH43" s="6">
        <f t="shared" si="6"/>
        <v>0.263347890507729</v>
      </c>
      <c r="AI43" s="7"/>
      <c r="AJ43" s="7"/>
      <c r="AK43" s="6">
        <f t="shared" ref="AK43:AK51" si="7">W43/$Z43</f>
        <v>0.15196088094712593</v>
      </c>
      <c r="AL43" s="7"/>
      <c r="AM43" s="6">
        <f t="shared" ref="AM43:AM71" si="8">Y43/$Z43</f>
        <v>0.38285178133894759</v>
      </c>
      <c r="AN43" s="6">
        <f>SUM(AG43:AM43)</f>
        <v>1</v>
      </c>
      <c r="AO43" s="7">
        <f>SUM(AG43:AL43)</f>
        <v>0.61714821866105241</v>
      </c>
      <c r="AP43" s="7">
        <f>AN43-(AO43+AM43)</f>
        <v>0</v>
      </c>
    </row>
    <row r="44" spans="1:42" x14ac:dyDescent="0.2">
      <c r="A44">
        <f t="shared" si="3"/>
        <v>1989</v>
      </c>
      <c r="B44" s="2">
        <f t="shared" ref="B44:B53" si="9">S43*(1+(B5/100))</f>
        <v>28849.550763899999</v>
      </c>
      <c r="C44" s="2">
        <f t="shared" ref="C44:C53" si="10">T43*(1+(C5/100))</f>
        <v>35559.651328040003</v>
      </c>
      <c r="D44" s="2"/>
      <c r="E44" s="2"/>
      <c r="F44" s="2">
        <f t="shared" ref="F44:F51" si="11">W43*(1+(F5/100))</f>
        <v>20829.183524180629</v>
      </c>
      <c r="G44" s="2"/>
      <c r="H44" s="2">
        <f t="shared" ref="H44:H73" si="12">Y43*(1+(H5/100))</f>
        <v>47340.382670474995</v>
      </c>
      <c r="I44" s="2">
        <f t="shared" ref="I44:I67" si="13">SUM(B44:H44)</f>
        <v>132578.76828659564</v>
      </c>
      <c r="J44" s="2">
        <f t="shared" ref="J44:J71" si="14">I44-I43</f>
        <v>18641.318286595662</v>
      </c>
      <c r="K44" s="83">
        <f t="shared" ref="K44:K71" si="15">(J44/I43)</f>
        <v>0.16361010612924604</v>
      </c>
      <c r="L44" s="7">
        <f t="shared" ref="L44:L71" si="16">K44+1</f>
        <v>1.1636101061292461</v>
      </c>
      <c r="N44">
        <f t="shared" ref="N44:N71" si="17">A44</f>
        <v>1989</v>
      </c>
      <c r="O44" s="2">
        <f t="shared" ref="O44:O73" si="18">O43*(1+O5)</f>
        <v>5363.0357714999991</v>
      </c>
      <c r="P44" s="2"/>
      <c r="Q44" s="2"/>
      <c r="R44">
        <f t="shared" ref="R44:R71" si="19">A44</f>
        <v>1989</v>
      </c>
      <c r="S44" s="2">
        <f t="shared" ref="S44:T52" si="20">B44-($O44/4)</f>
        <v>27508.791821024999</v>
      </c>
      <c r="T44" s="2">
        <f t="shared" si="20"/>
        <v>34218.892385165003</v>
      </c>
      <c r="U44" s="2"/>
      <c r="V44" s="2"/>
      <c r="W44" s="2">
        <f t="shared" si="4"/>
        <v>19488.42458130563</v>
      </c>
      <c r="X44" s="2"/>
      <c r="Y44" s="2">
        <f t="shared" ref="Y44:Y52" si="21">H44-($O44/4)</f>
        <v>45999.623727599996</v>
      </c>
      <c r="Z44" s="2">
        <f t="shared" ref="Z44:Z71" si="22">SUM(S44:Y44)</f>
        <v>127215.73251509562</v>
      </c>
      <c r="AA44" s="2">
        <f t="shared" ref="AA44:AA58" si="23">Z44-Z43</f>
        <v>18405.467765095629</v>
      </c>
      <c r="AB44" s="83">
        <f t="shared" ref="AB44:AB58" si="24">(AA44/Z43)</f>
        <v>0.16915194359083324</v>
      </c>
      <c r="AC44" s="7">
        <f t="shared" ref="AC44:AC71" si="25">AB44+1</f>
        <v>1.1691519435908333</v>
      </c>
      <c r="AD44" s="2">
        <f t="shared" ref="AD44:AD71" si="26">Z44-(I44-O44)</f>
        <v>0</v>
      </c>
      <c r="AF44">
        <f t="shared" si="5"/>
        <v>1989</v>
      </c>
      <c r="AG44" s="6">
        <f t="shared" si="6"/>
        <v>0.21623734169640349</v>
      </c>
      <c r="AH44" s="6">
        <f t="shared" si="6"/>
        <v>0.26898318084286105</v>
      </c>
      <c r="AI44" s="7"/>
      <c r="AJ44" s="7"/>
      <c r="AK44" s="6">
        <f t="shared" si="7"/>
        <v>0.15319193778955839</v>
      </c>
      <c r="AL44" s="7"/>
      <c r="AM44" s="6">
        <f t="shared" si="8"/>
        <v>0.36158753967117713</v>
      </c>
      <c r="AN44" s="6">
        <f t="shared" ref="AN44:AN71" si="27">SUM(AG44:AM44)</f>
        <v>1</v>
      </c>
      <c r="AO44" s="7">
        <f t="shared" ref="AO44:AO71" si="28">SUM(AG44:AL44)</f>
        <v>0.63841246032882293</v>
      </c>
      <c r="AP44" s="7">
        <f t="shared" ref="AP44:AP71" si="29">AN44-(AO44+AM44)</f>
        <v>0</v>
      </c>
    </row>
    <row r="45" spans="1:42" x14ac:dyDescent="0.2">
      <c r="A45">
        <f t="shared" si="3"/>
        <v>1990</v>
      </c>
      <c r="B45" s="2">
        <f t="shared" si="9"/>
        <v>26595.499932566971</v>
      </c>
      <c r="C45" s="2">
        <f t="shared" si="10"/>
        <v>29412.84894966858</v>
      </c>
      <c r="D45" s="2"/>
      <c r="E45" s="2"/>
      <c r="F45" s="2">
        <f t="shared" si="11"/>
        <v>17099.143727637558</v>
      </c>
      <c r="G45" s="2"/>
      <c r="H45" s="2">
        <f t="shared" si="12"/>
        <v>49978.591180037394</v>
      </c>
      <c r="I45" s="2">
        <f t="shared" ref="I45:I51" si="30">SUM(B45:H45)</f>
        <v>123086.08378991051</v>
      </c>
      <c r="J45" s="2">
        <f t="shared" si="14"/>
        <v>-9492.6844966851349</v>
      </c>
      <c r="K45" s="83">
        <f t="shared" si="15"/>
        <v>-7.1600337062754954E-2</v>
      </c>
      <c r="L45" s="7">
        <f t="shared" si="16"/>
        <v>0.92839966293724507</v>
      </c>
      <c r="N45">
        <f t="shared" si="17"/>
        <v>1990</v>
      </c>
      <c r="O45" s="2">
        <f t="shared" si="18"/>
        <v>5700.9070251044986</v>
      </c>
      <c r="P45" s="2"/>
      <c r="Q45" s="2"/>
      <c r="R45">
        <f t="shared" si="19"/>
        <v>1990</v>
      </c>
      <c r="S45" s="2">
        <f t="shared" si="20"/>
        <v>25170.273176290844</v>
      </c>
      <c r="T45" s="2">
        <f t="shared" si="20"/>
        <v>27987.622193392453</v>
      </c>
      <c r="U45" s="2"/>
      <c r="V45" s="2"/>
      <c r="W45" s="2">
        <f t="shared" si="4"/>
        <v>15673.916971361434</v>
      </c>
      <c r="X45" s="2"/>
      <c r="Y45" s="2">
        <f t="shared" si="21"/>
        <v>48553.364423761268</v>
      </c>
      <c r="Z45" s="2">
        <f t="shared" si="22"/>
        <v>117385.176764806</v>
      </c>
      <c r="AA45" s="2">
        <f t="shared" si="23"/>
        <v>-9830.5557502896118</v>
      </c>
      <c r="AB45" s="83">
        <f t="shared" si="24"/>
        <v>-7.7274685732152681E-2</v>
      </c>
      <c r="AC45" s="7">
        <f t="shared" si="25"/>
        <v>0.92272531426784732</v>
      </c>
      <c r="AD45" s="2">
        <f t="shared" si="26"/>
        <v>0</v>
      </c>
      <c r="AF45">
        <f t="shared" si="5"/>
        <v>1990</v>
      </c>
      <c r="AG45" s="6">
        <f t="shared" si="6"/>
        <v>0.21442463069014436</v>
      </c>
      <c r="AH45" s="6">
        <f t="shared" si="6"/>
        <v>0.23842552326235114</v>
      </c>
      <c r="AI45" s="7"/>
      <c r="AJ45" s="7"/>
      <c r="AK45" s="6">
        <f t="shared" si="7"/>
        <v>0.13352552173402468</v>
      </c>
      <c r="AL45" s="7"/>
      <c r="AM45" s="6">
        <f t="shared" si="8"/>
        <v>0.41362432431347979</v>
      </c>
      <c r="AN45" s="6">
        <f t="shared" si="27"/>
        <v>1</v>
      </c>
      <c r="AO45" s="7">
        <f t="shared" si="28"/>
        <v>0.58637567568652016</v>
      </c>
      <c r="AP45" s="7">
        <f t="shared" si="29"/>
        <v>0</v>
      </c>
    </row>
    <row r="46" spans="1:42" x14ac:dyDescent="0.2">
      <c r="A46">
        <f t="shared" si="3"/>
        <v>1991</v>
      </c>
      <c r="B46" s="2">
        <f t="shared" si="9"/>
        <v>32776.729730165935</v>
      </c>
      <c r="C46" s="2">
        <f t="shared" si="10"/>
        <v>39700.442081327201</v>
      </c>
      <c r="D46" s="2"/>
      <c r="E46" s="2"/>
      <c r="F46" s="2">
        <f t="shared" si="11"/>
        <v>17234.412145030179</v>
      </c>
      <c r="G46" s="2"/>
      <c r="H46" s="2">
        <f t="shared" si="12"/>
        <v>55957.752498384863</v>
      </c>
      <c r="I46" s="2">
        <f t="shared" si="30"/>
        <v>145669.33645490819</v>
      </c>
      <c r="J46" s="2">
        <f t="shared" si="14"/>
        <v>22583.252664997679</v>
      </c>
      <c r="K46" s="83">
        <f t="shared" si="15"/>
        <v>0.18347527169313393</v>
      </c>
      <c r="L46" s="7">
        <f t="shared" si="16"/>
        <v>1.1834752716931338</v>
      </c>
      <c r="N46">
        <f t="shared" si="17"/>
        <v>1991</v>
      </c>
      <c r="O46" s="2">
        <f t="shared" si="18"/>
        <v>5871.9342358576341</v>
      </c>
      <c r="P46" s="2"/>
      <c r="Q46" s="2"/>
      <c r="R46">
        <f t="shared" si="19"/>
        <v>1991</v>
      </c>
      <c r="S46" s="2">
        <f t="shared" si="20"/>
        <v>31308.746171201525</v>
      </c>
      <c r="T46" s="2">
        <f t="shared" si="20"/>
        <v>38232.458522362795</v>
      </c>
      <c r="U46" s="2"/>
      <c r="V46" s="2"/>
      <c r="W46" s="2">
        <f t="shared" si="4"/>
        <v>15766.428586065771</v>
      </c>
      <c r="X46" s="2"/>
      <c r="Y46" s="2">
        <f t="shared" si="21"/>
        <v>54489.768939420457</v>
      </c>
      <c r="Z46" s="2">
        <f t="shared" si="22"/>
        <v>139797.40221905053</v>
      </c>
      <c r="AA46" s="2">
        <f t="shared" si="23"/>
        <v>22412.22545424453</v>
      </c>
      <c r="AB46" s="83">
        <f t="shared" si="24"/>
        <v>0.19092892366767797</v>
      </c>
      <c r="AC46" s="7">
        <f t="shared" si="25"/>
        <v>1.1909289236676779</v>
      </c>
      <c r="AD46" s="2">
        <f t="shared" si="26"/>
        <v>0</v>
      </c>
      <c r="AF46">
        <f t="shared" si="5"/>
        <v>1991</v>
      </c>
      <c r="AG46" s="6">
        <f t="shared" si="6"/>
        <v>0.22395799688855023</v>
      </c>
      <c r="AH46" s="6">
        <f t="shared" si="6"/>
        <v>0.27348475662270044</v>
      </c>
      <c r="AI46" s="7"/>
      <c r="AJ46" s="7"/>
      <c r="AK46" s="6">
        <f t="shared" si="7"/>
        <v>0.11278055483006136</v>
      </c>
      <c r="AL46" s="7"/>
      <c r="AM46" s="6">
        <f t="shared" si="8"/>
        <v>0.38977669165868806</v>
      </c>
      <c r="AN46" s="6">
        <f t="shared" si="27"/>
        <v>1</v>
      </c>
      <c r="AO46" s="7">
        <f t="shared" si="28"/>
        <v>0.610223308341312</v>
      </c>
      <c r="AP46" s="7">
        <f t="shared" si="29"/>
        <v>0</v>
      </c>
    </row>
    <row r="47" spans="1:42" x14ac:dyDescent="0.2">
      <c r="A47">
        <f t="shared" si="3"/>
        <v>1992</v>
      </c>
      <c r="B47" s="2">
        <f t="shared" si="9"/>
        <v>33631.855137104678</v>
      </c>
      <c r="C47" s="2">
        <f t="shared" si="10"/>
        <v>42998.516801760539</v>
      </c>
      <c r="D47" s="2"/>
      <c r="E47" s="2"/>
      <c r="F47" s="2">
        <f t="shared" si="11"/>
        <v>14391.438349074975</v>
      </c>
      <c r="G47" s="2"/>
      <c r="H47" s="2">
        <f t="shared" si="12"/>
        <v>58380.338441695072</v>
      </c>
      <c r="I47" s="2">
        <f t="shared" si="30"/>
        <v>149402.14872963529</v>
      </c>
      <c r="J47" s="2">
        <f t="shared" si="14"/>
        <v>3732.8122747270972</v>
      </c>
      <c r="K47" s="83">
        <f t="shared" si="15"/>
        <v>2.5625243895324435E-2</v>
      </c>
      <c r="L47" s="7">
        <f t="shared" si="16"/>
        <v>1.0256252438953244</v>
      </c>
      <c r="N47">
        <f t="shared" si="17"/>
        <v>1992</v>
      </c>
      <c r="O47" s="2">
        <f t="shared" si="18"/>
        <v>6048.0922629333636</v>
      </c>
      <c r="P47" s="2"/>
      <c r="Q47" s="2"/>
      <c r="R47">
        <f t="shared" si="19"/>
        <v>1992</v>
      </c>
      <c r="S47" s="2">
        <f t="shared" si="20"/>
        <v>32119.832071371336</v>
      </c>
      <c r="T47" s="2">
        <f t="shared" si="20"/>
        <v>41486.493736027202</v>
      </c>
      <c r="U47" s="2"/>
      <c r="V47" s="2"/>
      <c r="W47" s="2">
        <f t="shared" si="4"/>
        <v>12879.415283341634</v>
      </c>
      <c r="X47" s="2"/>
      <c r="Y47" s="2">
        <f t="shared" si="21"/>
        <v>56868.315375961734</v>
      </c>
      <c r="Z47" s="2">
        <f t="shared" si="22"/>
        <v>143354.05646670191</v>
      </c>
      <c r="AA47" s="2">
        <f t="shared" si="23"/>
        <v>3556.6542476513714</v>
      </c>
      <c r="AB47" s="83">
        <f t="shared" si="24"/>
        <v>2.5441490265165297E-2</v>
      </c>
      <c r="AC47" s="7">
        <f t="shared" si="25"/>
        <v>1.0254414902651654</v>
      </c>
      <c r="AD47" s="2">
        <f t="shared" si="26"/>
        <v>0</v>
      </c>
      <c r="AF47">
        <f t="shared" si="5"/>
        <v>1992</v>
      </c>
      <c r="AG47" s="6">
        <f t="shared" si="6"/>
        <v>0.22405945714436123</v>
      </c>
      <c r="AH47" s="6">
        <f t="shared" si="6"/>
        <v>0.28939881269187268</v>
      </c>
      <c r="AI47" s="7"/>
      <c r="AJ47" s="7"/>
      <c r="AK47" s="6">
        <f t="shared" si="7"/>
        <v>8.9843396139496393E-2</v>
      </c>
      <c r="AL47" s="7"/>
      <c r="AM47" s="6">
        <f t="shared" si="8"/>
        <v>0.39669833402426974</v>
      </c>
      <c r="AN47" s="6">
        <f t="shared" si="27"/>
        <v>1</v>
      </c>
      <c r="AO47" s="7">
        <f t="shared" si="28"/>
        <v>0.60330166597573032</v>
      </c>
      <c r="AP47" s="7">
        <f t="shared" si="29"/>
        <v>0</v>
      </c>
    </row>
    <row r="48" spans="1:42" x14ac:dyDescent="0.2">
      <c r="A48">
        <f t="shared" si="3"/>
        <v>1993</v>
      </c>
      <c r="B48" s="2">
        <f t="shared" si="9"/>
        <v>35296.483463229961</v>
      </c>
      <c r="C48" s="2">
        <f t="shared" si="10"/>
        <v>47497.886678377545</v>
      </c>
      <c r="D48" s="2"/>
      <c r="E48" s="2"/>
      <c r="F48" s="2">
        <f t="shared" si="11"/>
        <v>16806.864179843833</v>
      </c>
      <c r="G48" s="2"/>
      <c r="H48" s="2">
        <f t="shared" si="12"/>
        <v>62373.168304354833</v>
      </c>
      <c r="I48" s="2">
        <f t="shared" si="30"/>
        <v>161974.40262580616</v>
      </c>
      <c r="J48" s="2">
        <f t="shared" si="14"/>
        <v>12572.253896170878</v>
      </c>
      <c r="K48" s="83">
        <f t="shared" si="15"/>
        <v>8.4150422219978802E-2</v>
      </c>
      <c r="L48" s="7">
        <f t="shared" si="16"/>
        <v>1.0841504222199787</v>
      </c>
      <c r="N48">
        <f t="shared" si="17"/>
        <v>1993</v>
      </c>
      <c r="O48" s="2">
        <f t="shared" si="18"/>
        <v>6217.4388462954976</v>
      </c>
      <c r="P48" s="2"/>
      <c r="Q48" s="2"/>
      <c r="R48">
        <f t="shared" si="19"/>
        <v>1993</v>
      </c>
      <c r="S48" s="2">
        <f t="shared" si="20"/>
        <v>33742.123751656087</v>
      </c>
      <c r="T48" s="2">
        <f t="shared" si="20"/>
        <v>45943.526966803671</v>
      </c>
      <c r="U48" s="2"/>
      <c r="V48" s="2"/>
      <c r="W48" s="2">
        <f t="shared" si="4"/>
        <v>15252.504468269959</v>
      </c>
      <c r="X48" s="2"/>
      <c r="Y48" s="2">
        <f t="shared" si="21"/>
        <v>60818.808592780959</v>
      </c>
      <c r="Z48" s="2">
        <f t="shared" si="22"/>
        <v>155756.96377951067</v>
      </c>
      <c r="AA48" s="2">
        <f t="shared" si="23"/>
        <v>12402.907312808762</v>
      </c>
      <c r="AB48" s="83">
        <f t="shared" si="24"/>
        <v>8.6519402509476206E-2</v>
      </c>
      <c r="AC48" s="7">
        <f t="shared" si="25"/>
        <v>1.0865194025094762</v>
      </c>
      <c r="AD48" s="2">
        <f t="shared" si="26"/>
        <v>0</v>
      </c>
      <c r="AF48">
        <f t="shared" si="5"/>
        <v>1993</v>
      </c>
      <c r="AG48" s="6">
        <f t="shared" si="6"/>
        <v>0.21663316318505918</v>
      </c>
      <c r="AH48" s="6">
        <f t="shared" si="6"/>
        <v>0.29496932818901928</v>
      </c>
      <c r="AI48" s="7"/>
      <c r="AJ48" s="7"/>
      <c r="AK48" s="6">
        <f t="shared" si="7"/>
        <v>9.7925024333816515E-2</v>
      </c>
      <c r="AL48" s="7"/>
      <c r="AM48" s="6">
        <f t="shared" si="8"/>
        <v>0.39047248429210507</v>
      </c>
      <c r="AN48" s="6">
        <f t="shared" si="27"/>
        <v>1</v>
      </c>
      <c r="AO48" s="7">
        <f t="shared" si="28"/>
        <v>0.60952751570789498</v>
      </c>
      <c r="AP48" s="7">
        <f t="shared" si="29"/>
        <v>0</v>
      </c>
    </row>
    <row r="49" spans="1:42" x14ac:dyDescent="0.2">
      <c r="A49">
        <f t="shared" si="3"/>
        <v>1994</v>
      </c>
      <c r="B49" s="2">
        <f t="shared" si="9"/>
        <v>34140.28081192563</v>
      </c>
      <c r="C49" s="2">
        <f t="shared" si="10"/>
        <v>45133.083151109255</v>
      </c>
      <c r="D49" s="2"/>
      <c r="E49" s="2"/>
      <c r="F49" s="2">
        <f t="shared" si="11"/>
        <v>16054.023578077547</v>
      </c>
      <c r="G49" s="2"/>
      <c r="H49" s="2">
        <f t="shared" si="12"/>
        <v>59201.028284212989</v>
      </c>
      <c r="I49" s="2">
        <f t="shared" si="30"/>
        <v>154528.41582532541</v>
      </c>
      <c r="J49" s="2">
        <f t="shared" si="14"/>
        <v>-7445.9868004807504</v>
      </c>
      <c r="K49" s="83">
        <f t="shared" si="15"/>
        <v>-4.5970145157333872E-2</v>
      </c>
      <c r="L49" s="7">
        <f t="shared" si="16"/>
        <v>0.95402985484266611</v>
      </c>
      <c r="N49">
        <f t="shared" si="17"/>
        <v>1994</v>
      </c>
      <c r="O49" s="2">
        <f t="shared" si="18"/>
        <v>6379.0922562991809</v>
      </c>
      <c r="P49" s="2"/>
      <c r="Q49" s="2"/>
      <c r="R49">
        <f t="shared" si="19"/>
        <v>1994</v>
      </c>
      <c r="S49" s="2">
        <f t="shared" si="20"/>
        <v>32545.507747850836</v>
      </c>
      <c r="T49" s="2">
        <f t="shared" si="20"/>
        <v>43538.310087034457</v>
      </c>
      <c r="U49" s="2"/>
      <c r="V49" s="2"/>
      <c r="W49" s="2">
        <f t="shared" si="4"/>
        <v>14459.250514002752</v>
      </c>
      <c r="X49" s="2"/>
      <c r="Y49" s="2">
        <f t="shared" si="21"/>
        <v>57606.255220138191</v>
      </c>
      <c r="Z49" s="2">
        <f t="shared" si="22"/>
        <v>148149.32356902625</v>
      </c>
      <c r="AA49" s="2">
        <f t="shared" si="23"/>
        <v>-7607.6402104844165</v>
      </c>
      <c r="AB49" s="83">
        <f t="shared" si="24"/>
        <v>-4.8843018160355134E-2</v>
      </c>
      <c r="AC49" s="7">
        <f t="shared" si="25"/>
        <v>0.95115698183964481</v>
      </c>
      <c r="AD49" s="2">
        <f t="shared" si="26"/>
        <v>0</v>
      </c>
      <c r="AF49">
        <f t="shared" si="5"/>
        <v>1994</v>
      </c>
      <c r="AG49" s="6">
        <f t="shared" si="6"/>
        <v>0.21968043433345222</v>
      </c>
      <c r="AH49" s="6">
        <f t="shared" si="6"/>
        <v>0.29388126140683279</v>
      </c>
      <c r="AI49" s="7"/>
      <c r="AJ49" s="7"/>
      <c r="AK49" s="6">
        <f t="shared" si="7"/>
        <v>9.7599166608856286E-2</v>
      </c>
      <c r="AL49" s="7"/>
      <c r="AM49" s="6">
        <f t="shared" si="8"/>
        <v>0.38883913765085859</v>
      </c>
      <c r="AN49" s="6">
        <f t="shared" si="27"/>
        <v>0.99999999999999978</v>
      </c>
      <c r="AO49" s="7">
        <f t="shared" si="28"/>
        <v>0.61116086234914124</v>
      </c>
      <c r="AP49" s="7">
        <f t="shared" si="29"/>
        <v>0</v>
      </c>
    </row>
    <row r="50" spans="1:42" x14ac:dyDescent="0.2">
      <c r="A50">
        <f t="shared" si="3"/>
        <v>1995</v>
      </c>
      <c r="B50" s="2">
        <f t="shared" si="9"/>
        <v>44733.800399420972</v>
      </c>
      <c r="C50" s="2">
        <f t="shared" si="10"/>
        <v>58252.952747149488</v>
      </c>
      <c r="D50" s="2"/>
      <c r="E50" s="2"/>
      <c r="F50" s="2">
        <f t="shared" si="11"/>
        <v>15853.989818583457</v>
      </c>
      <c r="G50" s="2"/>
      <c r="H50" s="2">
        <f t="shared" si="12"/>
        <v>68079.072419159318</v>
      </c>
      <c r="I50" s="2">
        <f t="shared" si="30"/>
        <v>186919.81538431323</v>
      </c>
      <c r="J50" s="2">
        <f t="shared" si="14"/>
        <v>32391.399558987818</v>
      </c>
      <c r="K50" s="83">
        <f t="shared" si="15"/>
        <v>0.20961451902543379</v>
      </c>
      <c r="L50" s="7">
        <f t="shared" si="16"/>
        <v>1.2096145190254337</v>
      </c>
      <c r="N50">
        <f t="shared" si="17"/>
        <v>1995</v>
      </c>
      <c r="O50" s="2">
        <f t="shared" si="18"/>
        <v>6538.5695627066598</v>
      </c>
      <c r="P50" s="2"/>
      <c r="Q50" s="2"/>
      <c r="R50">
        <f t="shared" si="19"/>
        <v>1995</v>
      </c>
      <c r="S50" s="2">
        <f t="shared" si="20"/>
        <v>43099.158008744307</v>
      </c>
      <c r="T50" s="2">
        <f t="shared" si="20"/>
        <v>56618.310356472823</v>
      </c>
      <c r="U50" s="2"/>
      <c r="V50" s="2"/>
      <c r="W50" s="2">
        <f t="shared" si="4"/>
        <v>14219.347427906792</v>
      </c>
      <c r="X50" s="2"/>
      <c r="Y50" s="2">
        <f t="shared" si="21"/>
        <v>66444.43002848266</v>
      </c>
      <c r="Z50" s="2">
        <f t="shared" si="22"/>
        <v>180381.24582160657</v>
      </c>
      <c r="AA50" s="2">
        <f t="shared" si="23"/>
        <v>32231.92225258032</v>
      </c>
      <c r="AB50" s="83">
        <f t="shared" si="24"/>
        <v>0.21756374903434986</v>
      </c>
      <c r="AC50" s="7">
        <f t="shared" si="25"/>
        <v>1.2175637490343498</v>
      </c>
      <c r="AD50" s="2">
        <f t="shared" si="26"/>
        <v>0</v>
      </c>
      <c r="AF50">
        <f t="shared" si="5"/>
        <v>1995</v>
      </c>
      <c r="AG50" s="6">
        <f t="shared" si="6"/>
        <v>0.23893369741646261</v>
      </c>
      <c r="AH50" s="6">
        <f t="shared" si="6"/>
        <v>0.31388135777966181</v>
      </c>
      <c r="AI50" s="7"/>
      <c r="AJ50" s="7"/>
      <c r="AK50" s="6">
        <f t="shared" si="7"/>
        <v>7.8829411356707457E-2</v>
      </c>
      <c r="AL50" s="7"/>
      <c r="AM50" s="6">
        <f t="shared" si="8"/>
        <v>0.36835553344716815</v>
      </c>
      <c r="AN50" s="6">
        <f t="shared" si="27"/>
        <v>1</v>
      </c>
      <c r="AO50" s="7">
        <f t="shared" si="28"/>
        <v>0.6316444665528318</v>
      </c>
      <c r="AP50" s="7">
        <f t="shared" si="29"/>
        <v>0</v>
      </c>
    </row>
    <row r="51" spans="1:42" x14ac:dyDescent="0.2">
      <c r="A51">
        <f t="shared" si="3"/>
        <v>1996</v>
      </c>
      <c r="B51" s="2">
        <f t="shared" si="9"/>
        <v>52960.245361145011</v>
      </c>
      <c r="C51" s="2">
        <f t="shared" si="10"/>
        <v>66609.743585079574</v>
      </c>
      <c r="D51" s="2"/>
      <c r="E51" s="2"/>
      <c r="F51" s="2">
        <f t="shared" si="11"/>
        <v>15672.422541564587</v>
      </c>
      <c r="G51" s="2"/>
      <c r="H51" s="2">
        <f t="shared" si="12"/>
        <v>68823.140623502346</v>
      </c>
      <c r="I51" s="2">
        <f t="shared" si="30"/>
        <v>204065.55211129153</v>
      </c>
      <c r="J51" s="2">
        <f t="shared" si="14"/>
        <v>17145.736726978299</v>
      </c>
      <c r="K51" s="83">
        <f t="shared" si="15"/>
        <v>9.1727764077479457E-2</v>
      </c>
      <c r="L51" s="7">
        <f t="shared" si="16"/>
        <v>1.0917277640774794</v>
      </c>
      <c r="N51">
        <f t="shared" si="17"/>
        <v>1996</v>
      </c>
      <c r="O51" s="2">
        <f t="shared" si="18"/>
        <v>6760.8809278386861</v>
      </c>
      <c r="P51" s="2"/>
      <c r="Q51" s="2"/>
      <c r="R51">
        <f t="shared" si="19"/>
        <v>1996</v>
      </c>
      <c r="S51" s="2">
        <f t="shared" si="20"/>
        <v>51270.025129185342</v>
      </c>
      <c r="T51" s="2">
        <f t="shared" si="20"/>
        <v>64919.523353119905</v>
      </c>
      <c r="U51" s="2"/>
      <c r="V51" s="2"/>
      <c r="W51" s="2">
        <f t="shared" si="4"/>
        <v>13982.202309604916</v>
      </c>
      <c r="X51" s="2"/>
      <c r="Y51" s="2">
        <f t="shared" si="21"/>
        <v>67132.920391542677</v>
      </c>
      <c r="Z51" s="2">
        <f t="shared" si="22"/>
        <v>197304.67118345283</v>
      </c>
      <c r="AA51" s="2">
        <f t="shared" si="23"/>
        <v>16923.425361846254</v>
      </c>
      <c r="AB51" s="83">
        <f t="shared" si="24"/>
        <v>9.3820315325813752E-2</v>
      </c>
      <c r="AC51" s="7">
        <f t="shared" si="25"/>
        <v>1.0938203153258137</v>
      </c>
      <c r="AD51" s="2">
        <f t="shared" si="26"/>
        <v>0</v>
      </c>
      <c r="AF51">
        <f t="shared" si="5"/>
        <v>1996</v>
      </c>
      <c r="AG51" s="6">
        <f t="shared" si="6"/>
        <v>0.25985205936414324</v>
      </c>
      <c r="AH51" s="6">
        <f t="shared" si="6"/>
        <v>0.32903186206249563</v>
      </c>
      <c r="AI51" s="7"/>
      <c r="AJ51" s="7"/>
      <c r="AK51" s="6">
        <f t="shared" si="7"/>
        <v>7.0866048055214764E-2</v>
      </c>
      <c r="AL51" s="6"/>
      <c r="AM51" s="6">
        <f t="shared" si="8"/>
        <v>0.34025003051814645</v>
      </c>
      <c r="AN51" s="6">
        <f t="shared" si="27"/>
        <v>1</v>
      </c>
      <c r="AO51" s="7">
        <f t="shared" si="28"/>
        <v>0.6597499694818536</v>
      </c>
      <c r="AP51" s="7">
        <f t="shared" si="29"/>
        <v>0</v>
      </c>
    </row>
    <row r="52" spans="1:42" x14ac:dyDescent="0.2">
      <c r="A52">
        <f t="shared" si="3"/>
        <v>1997</v>
      </c>
      <c r="B52" s="2">
        <f t="shared" si="9"/>
        <v>68286.546469561959</v>
      </c>
      <c r="C52" s="2">
        <f t="shared" si="10"/>
        <v>82244.596550367016</v>
      </c>
      <c r="D52" s="2"/>
      <c r="E52" s="2"/>
      <c r="F52" s="2"/>
      <c r="G52" s="2">
        <f>W51*(1+(G13/100))</f>
        <v>13873.840241705477</v>
      </c>
      <c r="H52" s="2">
        <f t="shared" si="12"/>
        <v>73470.268076504304</v>
      </c>
      <c r="I52" s="2">
        <f t="shared" si="13"/>
        <v>237875.25133813877</v>
      </c>
      <c r="J52" s="2">
        <f>I52-I51</f>
        <v>33809.699226847239</v>
      </c>
      <c r="K52" s="83">
        <f>(J52/I51)</f>
        <v>0.16568058095571364</v>
      </c>
      <c r="L52" s="7">
        <f t="shared" si="16"/>
        <v>1.1656805809557136</v>
      </c>
      <c r="N52">
        <f t="shared" si="17"/>
        <v>1997</v>
      </c>
      <c r="O52" s="2">
        <f t="shared" si="18"/>
        <v>6875.8159036119432</v>
      </c>
      <c r="P52" s="2"/>
      <c r="Q52" s="2"/>
      <c r="R52">
        <f t="shared" si="19"/>
        <v>1997</v>
      </c>
      <c r="S52" s="2">
        <f t="shared" si="20"/>
        <v>66567.592493658973</v>
      </c>
      <c r="T52" s="2">
        <f t="shared" si="20"/>
        <v>80525.642574464029</v>
      </c>
      <c r="U52" s="2"/>
      <c r="V52" s="2"/>
      <c r="W52" s="2"/>
      <c r="X52" s="2">
        <f>G52-(O52/4)</f>
        <v>12154.886265802492</v>
      </c>
      <c r="Y52" s="2">
        <f t="shared" si="21"/>
        <v>71751.314100601317</v>
      </c>
      <c r="Z52" s="2">
        <f t="shared" si="22"/>
        <v>230999.43543452682</v>
      </c>
      <c r="AA52" s="2">
        <f>Z52-Z51</f>
        <v>33694.764251073997</v>
      </c>
      <c r="AB52" s="83">
        <f>(AA52/Z51)</f>
        <v>0.17077529918054898</v>
      </c>
      <c r="AC52" s="7">
        <f t="shared" si="25"/>
        <v>1.1707752991805489</v>
      </c>
      <c r="AD52" s="2">
        <f t="shared" si="26"/>
        <v>0</v>
      </c>
      <c r="AF52">
        <f t="shared" si="5"/>
        <v>1997</v>
      </c>
      <c r="AG52" s="6">
        <f t="shared" si="6"/>
        <v>0.28817210037089686</v>
      </c>
      <c r="AH52" s="6">
        <f t="shared" si="6"/>
        <v>0.34859670727328579</v>
      </c>
      <c r="AI52" s="7"/>
      <c r="AJ52" s="7"/>
      <c r="AK52" s="6"/>
      <c r="AL52" s="6">
        <f t="shared" ref="AL52:AL71" si="31">X52/$Z52</f>
        <v>5.261868386361318E-2</v>
      </c>
      <c r="AM52" s="6">
        <f t="shared" si="8"/>
        <v>0.31061250849220412</v>
      </c>
      <c r="AN52" s="6">
        <f t="shared" si="27"/>
        <v>0.99999999999999989</v>
      </c>
      <c r="AO52" s="7">
        <f t="shared" si="28"/>
        <v>0.68938749150779577</v>
      </c>
      <c r="AP52" s="7">
        <f t="shared" si="29"/>
        <v>0</v>
      </c>
    </row>
    <row r="53" spans="1:42" x14ac:dyDescent="0.2">
      <c r="A53">
        <f t="shared" si="3"/>
        <v>1998</v>
      </c>
      <c r="B53" s="2">
        <f t="shared" si="9"/>
        <v>85645.864502341632</v>
      </c>
      <c r="C53" s="2">
        <f t="shared" si="10"/>
        <v>87251.949498709015</v>
      </c>
      <c r="D53" s="2"/>
      <c r="E53" s="2"/>
      <c r="F53" s="2"/>
      <c r="G53" s="2">
        <f t="shared" ref="G53:G73" si="32">X52*(1+(G14/100))</f>
        <v>14051.413169855654</v>
      </c>
      <c r="H53" s="2">
        <f t="shared" si="12"/>
        <v>77907.576850432917</v>
      </c>
      <c r="I53" s="2">
        <f t="shared" si="13"/>
        <v>264856.80402133922</v>
      </c>
      <c r="J53" s="2">
        <f>I53-I52</f>
        <v>26981.552683200454</v>
      </c>
      <c r="K53" s="83">
        <f>(J53/I52)</f>
        <v>0.11342732180594223</v>
      </c>
      <c r="L53" s="7">
        <f t="shared" si="16"/>
        <v>1.1134273218059423</v>
      </c>
      <c r="N53">
        <f t="shared" si="17"/>
        <v>1998</v>
      </c>
      <c r="O53" s="2">
        <f t="shared" si="18"/>
        <v>6985.8289580697347</v>
      </c>
      <c r="P53" s="2"/>
      <c r="Q53" s="2"/>
      <c r="R53">
        <f t="shared" si="19"/>
        <v>1998</v>
      </c>
      <c r="S53" s="2">
        <f>B53-($O53/4)</f>
        <v>83899.407262824199</v>
      </c>
      <c r="T53" s="2">
        <f>C53-($O53/4)</f>
        <v>85505.492259191582</v>
      </c>
      <c r="U53" s="2"/>
      <c r="V53" s="2"/>
      <c r="W53" s="2"/>
      <c r="X53" s="2">
        <f>G53-($O53/4)</f>
        <v>12304.955930338219</v>
      </c>
      <c r="Y53" s="2">
        <f>H53-($O53/4)</f>
        <v>76161.119610915484</v>
      </c>
      <c r="Z53" s="2">
        <f t="shared" si="22"/>
        <v>257870.97506326946</v>
      </c>
      <c r="AA53" s="2">
        <f>Z53-Z52</f>
        <v>26871.539628742641</v>
      </c>
      <c r="AB53" s="83">
        <f>(AA53/Z52)</f>
        <v>0.11632729568449079</v>
      </c>
      <c r="AC53" s="7">
        <f t="shared" si="25"/>
        <v>1.1163272956844907</v>
      </c>
      <c r="AD53" s="2">
        <f t="shared" si="26"/>
        <v>0</v>
      </c>
      <c r="AF53">
        <f t="shared" si="5"/>
        <v>1998</v>
      </c>
      <c r="AG53" s="6">
        <f t="shared" si="6"/>
        <v>0.32535420957026751</v>
      </c>
      <c r="AH53" s="6">
        <f t="shared" si="6"/>
        <v>0.33158245994227359</v>
      </c>
      <c r="AI53" s="7"/>
      <c r="AJ53" s="7"/>
      <c r="AK53" s="7"/>
      <c r="AL53" s="6">
        <f t="shared" si="31"/>
        <v>4.7717490994553226E-2</v>
      </c>
      <c r="AM53" s="6">
        <f t="shared" si="8"/>
        <v>0.29534583949290577</v>
      </c>
      <c r="AN53" s="6">
        <f t="shared" si="27"/>
        <v>1.0000000000000002</v>
      </c>
      <c r="AO53" s="7">
        <f t="shared" si="28"/>
        <v>0.7046541605070944</v>
      </c>
      <c r="AP53" s="7">
        <f t="shared" si="29"/>
        <v>0</v>
      </c>
    </row>
    <row r="54" spans="1:42" x14ac:dyDescent="0.2">
      <c r="A54">
        <f t="shared" si="3"/>
        <v>1999</v>
      </c>
      <c r="B54" s="2">
        <f t="shared" ref="B54:B73" si="33">S53*(1+(B15/100))</f>
        <v>101577.01237310127</v>
      </c>
      <c r="C54" s="2"/>
      <c r="D54" s="2">
        <f>($T53*0.6)*(1+(D15/100))</f>
        <v>59162.447171026281</v>
      </c>
      <c r="E54" s="2">
        <f>($T53*0.4)*(1+(E15/100))</f>
        <v>42114.191113404151</v>
      </c>
      <c r="F54" s="2"/>
      <c r="G54" s="2">
        <f t="shared" si="32"/>
        <v>15986.475695136112</v>
      </c>
      <c r="H54" s="2">
        <f t="shared" si="12"/>
        <v>75582.295101872529</v>
      </c>
      <c r="I54" s="2">
        <f t="shared" si="13"/>
        <v>294422.42145454034</v>
      </c>
      <c r="J54" s="2">
        <f t="shared" si="14"/>
        <v>29565.617433201114</v>
      </c>
      <c r="K54" s="83">
        <f t="shared" si="15"/>
        <v>0.11162868759384049</v>
      </c>
      <c r="L54" s="7">
        <f t="shared" si="16"/>
        <v>1.1116286875938406</v>
      </c>
      <c r="N54">
        <f t="shared" si="17"/>
        <v>1999</v>
      </c>
      <c r="O54" s="2">
        <f t="shared" si="18"/>
        <v>7174.4463399376173</v>
      </c>
      <c r="P54" s="2"/>
      <c r="Q54" s="2"/>
      <c r="R54">
        <f t="shared" si="19"/>
        <v>1999</v>
      </c>
      <c r="S54" s="2">
        <f>B54-($O54/5)</f>
        <v>100142.12310511374</v>
      </c>
      <c r="T54" s="2"/>
      <c r="U54" s="2">
        <f>D54-($O54/5)</f>
        <v>57727.55790303876</v>
      </c>
      <c r="V54" s="2">
        <f>E54-($O54/5)</f>
        <v>40679.30184541663</v>
      </c>
      <c r="W54" s="2"/>
      <c r="X54" s="2">
        <f>G54-($O54/5)</f>
        <v>14551.586427148588</v>
      </c>
      <c r="Y54" s="2">
        <f>H54-($O54/5)</f>
        <v>74147.405833885001</v>
      </c>
      <c r="Z54" s="2">
        <f t="shared" si="22"/>
        <v>287247.97511460271</v>
      </c>
      <c r="AA54" s="2">
        <f t="shared" si="23"/>
        <v>29377.000051333249</v>
      </c>
      <c r="AB54" s="83">
        <f t="shared" si="24"/>
        <v>0.11392131295166316</v>
      </c>
      <c r="AC54" s="7">
        <f t="shared" si="25"/>
        <v>1.1139213129516632</v>
      </c>
      <c r="AD54" s="2">
        <f t="shared" si="26"/>
        <v>0</v>
      </c>
      <c r="AF54">
        <f t="shared" si="5"/>
        <v>1999</v>
      </c>
      <c r="AG54" s="6">
        <f t="shared" si="6"/>
        <v>0.34862603666800523</v>
      </c>
      <c r="AH54" s="7"/>
      <c r="AI54" s="6">
        <f>U54/$Z54</f>
        <v>0.2009676756816382</v>
      </c>
      <c r="AJ54" s="6">
        <f>V54/$Z54</f>
        <v>0.1416173667688585</v>
      </c>
      <c r="AK54" s="7"/>
      <c r="AL54" s="6">
        <f t="shared" si="31"/>
        <v>5.065862142750692E-2</v>
      </c>
      <c r="AM54" s="6">
        <f t="shared" si="8"/>
        <v>0.25813029945399119</v>
      </c>
      <c r="AN54" s="6">
        <f t="shared" si="27"/>
        <v>1</v>
      </c>
      <c r="AO54" s="7">
        <f t="shared" si="28"/>
        <v>0.74186970054600887</v>
      </c>
      <c r="AP54" s="7">
        <f t="shared" si="29"/>
        <v>0</v>
      </c>
    </row>
    <row r="55" spans="1:42" x14ac:dyDescent="0.2">
      <c r="A55">
        <f t="shared" si="3"/>
        <v>2000</v>
      </c>
      <c r="B55" s="2">
        <f t="shared" si="33"/>
        <v>91069.246751790444</v>
      </c>
      <c r="C55" s="2"/>
      <c r="D55" s="2">
        <f t="shared" ref="D55:D73" si="34">U54*(1+(D16/100))</f>
        <v>68175.091332330703</v>
      </c>
      <c r="E55" s="2">
        <f t="shared" ref="E55:E73" si="35">V54*(1+(E16/100))</f>
        <v>39595.198451236276</v>
      </c>
      <c r="F55" s="2"/>
      <c r="G55" s="2">
        <f t="shared" si="32"/>
        <v>12279.501722413608</v>
      </c>
      <c r="H55" s="2">
        <f t="shared" si="12"/>
        <v>82592.795358364514</v>
      </c>
      <c r="I55" s="2">
        <f t="shared" si="13"/>
        <v>293711.83361613553</v>
      </c>
      <c r="J55" s="2">
        <f t="shared" si="14"/>
        <v>-710.58783840481192</v>
      </c>
      <c r="K55" s="83">
        <f t="shared" si="15"/>
        <v>-2.413497704740971E-3</v>
      </c>
      <c r="L55" s="7">
        <f t="shared" si="16"/>
        <v>0.99758650229525903</v>
      </c>
      <c r="N55">
        <f t="shared" si="17"/>
        <v>2000</v>
      </c>
      <c r="O55" s="2">
        <f t="shared" si="18"/>
        <v>7418.3775154954965</v>
      </c>
      <c r="P55" s="2"/>
      <c r="Q55" s="2"/>
      <c r="R55">
        <f t="shared" si="19"/>
        <v>2000</v>
      </c>
      <c r="S55" s="2">
        <f t="shared" ref="S55:S62" si="36">B55-($O55/5)</f>
        <v>89585.57124869134</v>
      </c>
      <c r="T55" s="2"/>
      <c r="U55" s="2">
        <f t="shared" ref="U55:V62" si="37">D55-($O55/5)</f>
        <v>66691.415829231599</v>
      </c>
      <c r="V55" s="2">
        <f t="shared" si="37"/>
        <v>38111.522948137179</v>
      </c>
      <c r="W55" s="2"/>
      <c r="X55" s="2">
        <f t="shared" ref="X55:Y62" si="38">G55-($O55/5)</f>
        <v>10795.826219314509</v>
      </c>
      <c r="Y55" s="2">
        <f t="shared" si="38"/>
        <v>81109.11985526541</v>
      </c>
      <c r="Z55" s="2">
        <f t="shared" si="22"/>
        <v>286293.45610064</v>
      </c>
      <c r="AA55" s="2">
        <f t="shared" si="23"/>
        <v>-954.51901396270841</v>
      </c>
      <c r="AB55" s="83">
        <f t="shared" si="24"/>
        <v>-3.3229790865606135E-3</v>
      </c>
      <c r="AC55" s="7">
        <f t="shared" si="25"/>
        <v>0.99667702091343935</v>
      </c>
      <c r="AD55" s="2">
        <f t="shared" si="26"/>
        <v>0</v>
      </c>
      <c r="AF55">
        <f t="shared" si="5"/>
        <v>2000</v>
      </c>
      <c r="AG55" s="6">
        <f t="shared" si="6"/>
        <v>0.31291519012994679</v>
      </c>
      <c r="AH55" s="7"/>
      <c r="AI55" s="6">
        <f t="shared" ref="AI55:AJ70" si="39">U55/$Z55</f>
        <v>0.23294774787233605</v>
      </c>
      <c r="AJ55" s="6">
        <f t="shared" si="39"/>
        <v>0.13312048227445314</v>
      </c>
      <c r="AK55" s="7"/>
      <c r="AL55" s="6">
        <f t="shared" si="31"/>
        <v>3.7708952088375644E-2</v>
      </c>
      <c r="AM55" s="6">
        <f t="shared" si="8"/>
        <v>0.28330762763488848</v>
      </c>
      <c r="AN55" s="6">
        <f t="shared" si="27"/>
        <v>1</v>
      </c>
      <c r="AO55" s="7">
        <f t="shared" si="28"/>
        <v>0.71669237236511163</v>
      </c>
      <c r="AP55" s="7">
        <f t="shared" si="29"/>
        <v>0</v>
      </c>
    </row>
    <row r="56" spans="1:42" x14ac:dyDescent="0.2">
      <c r="A56">
        <f t="shared" si="3"/>
        <v>2001</v>
      </c>
      <c r="B56" s="2">
        <f t="shared" si="33"/>
        <v>78817.38558459864</v>
      </c>
      <c r="C56" s="2"/>
      <c r="D56" s="2">
        <f t="shared" si="34"/>
        <v>66358.625664243737</v>
      </c>
      <c r="E56" s="2">
        <f t="shared" si="35"/>
        <v>39292.980159529427</v>
      </c>
      <c r="F56" s="2"/>
      <c r="G56" s="2">
        <f t="shared" si="32"/>
        <v>8620.1433613360568</v>
      </c>
      <c r="H56" s="2">
        <f t="shared" si="12"/>
        <v>87946.61865906429</v>
      </c>
      <c r="I56" s="2">
        <f t="shared" si="13"/>
        <v>281035.75342877215</v>
      </c>
      <c r="J56" s="2">
        <f t="shared" si="14"/>
        <v>-12676.080187363375</v>
      </c>
      <c r="K56" s="83">
        <f t="shared" si="15"/>
        <v>-4.3158220870086847E-2</v>
      </c>
      <c r="L56" s="7">
        <f t="shared" si="16"/>
        <v>0.95684177912991319</v>
      </c>
      <c r="N56">
        <f t="shared" si="17"/>
        <v>2001</v>
      </c>
      <c r="O56" s="2">
        <f t="shared" si="18"/>
        <v>7537.0715557434241</v>
      </c>
      <c r="P56" s="2"/>
      <c r="Q56" s="2"/>
      <c r="R56">
        <f t="shared" si="19"/>
        <v>2001</v>
      </c>
      <c r="S56" s="2">
        <f t="shared" si="36"/>
        <v>77309.971273449948</v>
      </c>
      <c r="T56" s="2"/>
      <c r="U56" s="2">
        <f t="shared" si="37"/>
        <v>64851.211353095052</v>
      </c>
      <c r="V56" s="2">
        <f t="shared" si="37"/>
        <v>37785.565848380742</v>
      </c>
      <c r="W56" s="2"/>
      <c r="X56" s="2">
        <f t="shared" si="38"/>
        <v>7112.7290501873722</v>
      </c>
      <c r="Y56" s="2">
        <f t="shared" si="38"/>
        <v>86439.204347915598</v>
      </c>
      <c r="Z56" s="2">
        <f t="shared" si="22"/>
        <v>273498.68187302869</v>
      </c>
      <c r="AA56" s="2">
        <f t="shared" si="23"/>
        <v>-12794.774227611313</v>
      </c>
      <c r="AB56" s="83">
        <f t="shared" si="24"/>
        <v>-4.4691116597207863E-2</v>
      </c>
      <c r="AC56" s="7">
        <f t="shared" si="25"/>
        <v>0.95530888340279219</v>
      </c>
      <c r="AD56" s="2">
        <f t="shared" si="26"/>
        <v>0</v>
      </c>
      <c r="AF56">
        <f t="shared" si="5"/>
        <v>2001</v>
      </c>
      <c r="AG56" s="6">
        <f t="shared" si="6"/>
        <v>0.28267036149498143</v>
      </c>
      <c r="AH56" s="7"/>
      <c r="AI56" s="6">
        <f t="shared" si="39"/>
        <v>0.23711708922678509</v>
      </c>
      <c r="AJ56" s="6">
        <f t="shared" si="39"/>
        <v>0.13815629965603501</v>
      </c>
      <c r="AK56" s="7"/>
      <c r="AL56" s="6">
        <f t="shared" si="31"/>
        <v>2.6006447276003489E-2</v>
      </c>
      <c r="AM56" s="6">
        <f t="shared" si="8"/>
        <v>0.31604980234619506</v>
      </c>
      <c r="AN56" s="6">
        <f t="shared" si="27"/>
        <v>1.0000000000000002</v>
      </c>
      <c r="AO56" s="7">
        <f t="shared" si="28"/>
        <v>0.68395019765380516</v>
      </c>
      <c r="AP56" s="7">
        <f t="shared" si="29"/>
        <v>0</v>
      </c>
    </row>
    <row r="57" spans="1:42" x14ac:dyDescent="0.2">
      <c r="A57">
        <f t="shared" si="3"/>
        <v>2002</v>
      </c>
      <c r="B57" s="2">
        <f t="shared" si="33"/>
        <v>60185.812636380782</v>
      </c>
      <c r="C57" s="2"/>
      <c r="D57" s="2">
        <f t="shared" si="34"/>
        <v>55377.746398634925</v>
      </c>
      <c r="E57" s="2">
        <f t="shared" si="35"/>
        <v>30220.139854217952</v>
      </c>
      <c r="F57" s="2"/>
      <c r="G57" s="2">
        <f t="shared" si="32"/>
        <v>6039.9161275476108</v>
      </c>
      <c r="H57" s="2">
        <f t="shared" si="12"/>
        <v>93579.082627053431</v>
      </c>
      <c r="I57" s="2">
        <f t="shared" si="13"/>
        <v>245402.69764383469</v>
      </c>
      <c r="J57" s="2">
        <f t="shared" si="14"/>
        <v>-35633.05578493746</v>
      </c>
      <c r="K57" s="83">
        <f t="shared" si="15"/>
        <v>-0.12679189515994652</v>
      </c>
      <c r="L57" s="7">
        <f t="shared" si="16"/>
        <v>0.87320810484005351</v>
      </c>
      <c r="N57">
        <f t="shared" si="17"/>
        <v>2002</v>
      </c>
      <c r="O57" s="2">
        <f t="shared" si="18"/>
        <v>7725.4983446370088</v>
      </c>
      <c r="P57" s="2"/>
      <c r="Q57" s="2"/>
      <c r="R57">
        <f t="shared" si="19"/>
        <v>2002</v>
      </c>
      <c r="S57" s="2">
        <f t="shared" si="36"/>
        <v>58640.712967453379</v>
      </c>
      <c r="T57" s="2"/>
      <c r="U57" s="2">
        <f t="shared" si="37"/>
        <v>53832.646729707521</v>
      </c>
      <c r="V57" s="2">
        <f t="shared" si="37"/>
        <v>28675.040185290549</v>
      </c>
      <c r="W57" s="2"/>
      <c r="X57" s="2">
        <f t="shared" si="38"/>
        <v>4494.8164586202092</v>
      </c>
      <c r="Y57" s="2">
        <f t="shared" si="38"/>
        <v>92033.982958126027</v>
      </c>
      <c r="Z57" s="2">
        <f t="shared" si="22"/>
        <v>237677.1992991977</v>
      </c>
      <c r="AA57" s="2">
        <f t="shared" si="23"/>
        <v>-35821.482573830988</v>
      </c>
      <c r="AB57" s="83">
        <f t="shared" si="24"/>
        <v>-0.13097497336554279</v>
      </c>
      <c r="AC57" s="7">
        <f t="shared" si="25"/>
        <v>0.86902502663445724</v>
      </c>
      <c r="AD57" s="2">
        <f t="shared" si="26"/>
        <v>0</v>
      </c>
      <c r="AF57">
        <f t="shared" si="5"/>
        <v>2002</v>
      </c>
      <c r="AG57" s="6">
        <f t="shared" si="6"/>
        <v>0.24672418364217624</v>
      </c>
      <c r="AH57" s="7"/>
      <c r="AI57" s="6">
        <f t="shared" si="39"/>
        <v>0.22649478741938894</v>
      </c>
      <c r="AJ57" s="6">
        <f t="shared" si="39"/>
        <v>0.12064699630355895</v>
      </c>
      <c r="AK57" s="7"/>
      <c r="AL57" s="6">
        <f t="shared" si="31"/>
        <v>1.8911433119682432E-2</v>
      </c>
      <c r="AM57" s="6">
        <f t="shared" si="8"/>
        <v>0.38722259951519333</v>
      </c>
      <c r="AN57" s="6">
        <f t="shared" si="27"/>
        <v>0.99999999999999989</v>
      </c>
      <c r="AO57" s="7">
        <f t="shared" si="28"/>
        <v>0.61277740048480656</v>
      </c>
      <c r="AP57" s="7">
        <f t="shared" si="29"/>
        <v>0</v>
      </c>
    </row>
    <row r="58" spans="1:42" x14ac:dyDescent="0.2">
      <c r="A58">
        <f t="shared" si="3"/>
        <v>2003</v>
      </c>
      <c r="B58" s="2">
        <f t="shared" si="33"/>
        <v>75353.316163177587</v>
      </c>
      <c r="C58" s="2"/>
      <c r="D58" s="2">
        <f t="shared" si="34"/>
        <v>72212.188976164267</v>
      </c>
      <c r="E58" s="2">
        <f t="shared" si="35"/>
        <v>41758.887521034922</v>
      </c>
      <c r="F58" s="2"/>
      <c r="G58" s="2">
        <f t="shared" si="32"/>
        <v>6308.0254180276015</v>
      </c>
      <c r="H58" s="2">
        <f t="shared" si="12"/>
        <v>95687.732081563634</v>
      </c>
      <c r="I58" s="2">
        <f t="shared" si="13"/>
        <v>291320.15015996801</v>
      </c>
      <c r="J58" s="2">
        <f t="shared" si="14"/>
        <v>45917.452516133315</v>
      </c>
      <c r="K58" s="83">
        <f t="shared" si="15"/>
        <v>0.18711062656196073</v>
      </c>
      <c r="L58" s="7">
        <f t="shared" si="16"/>
        <v>1.1871106265619606</v>
      </c>
      <c r="N58">
        <f t="shared" si="17"/>
        <v>2003</v>
      </c>
      <c r="O58" s="2">
        <f t="shared" si="18"/>
        <v>7880.0083115297493</v>
      </c>
      <c r="P58" s="2"/>
      <c r="Q58" s="2"/>
      <c r="R58">
        <f t="shared" si="19"/>
        <v>2003</v>
      </c>
      <c r="S58" s="2">
        <f t="shared" si="36"/>
        <v>73777.314500871638</v>
      </c>
      <c r="T58" s="2"/>
      <c r="U58" s="2">
        <f t="shared" si="37"/>
        <v>70636.187313858318</v>
      </c>
      <c r="V58" s="2">
        <f t="shared" si="37"/>
        <v>40182.885858728972</v>
      </c>
      <c r="W58" s="2"/>
      <c r="X58" s="2">
        <f t="shared" si="38"/>
        <v>4732.0237557216515</v>
      </c>
      <c r="Y58" s="2">
        <f t="shared" si="38"/>
        <v>94111.730419257685</v>
      </c>
      <c r="Z58" s="2">
        <f t="shared" si="22"/>
        <v>283440.14184843824</v>
      </c>
      <c r="AA58" s="2">
        <f t="shared" si="23"/>
        <v>45762.942549240543</v>
      </c>
      <c r="AB58" s="83">
        <f t="shared" si="24"/>
        <v>0.19254241754856885</v>
      </c>
      <c r="AC58" s="7">
        <f t="shared" si="25"/>
        <v>1.1925424175485688</v>
      </c>
      <c r="AD58" s="2">
        <f t="shared" si="26"/>
        <v>0</v>
      </c>
      <c r="AF58">
        <f t="shared" si="5"/>
        <v>2003</v>
      </c>
      <c r="AG58" s="6">
        <f t="shared" ref="AG58:AG71" si="40">S58/$Z58</f>
        <v>0.26029239902202</v>
      </c>
      <c r="AH58" s="7"/>
      <c r="AI58" s="6">
        <f t="shared" si="39"/>
        <v>0.24921024542680711</v>
      </c>
      <c r="AJ58" s="6">
        <f t="shared" si="39"/>
        <v>0.14176850744103725</v>
      </c>
      <c r="AK58" s="7"/>
      <c r="AL58" s="6">
        <f t="shared" si="31"/>
        <v>1.6694966792148904E-2</v>
      </c>
      <c r="AM58" s="6">
        <f t="shared" si="8"/>
        <v>0.33203388131798678</v>
      </c>
      <c r="AN58" s="6">
        <f t="shared" si="27"/>
        <v>1</v>
      </c>
      <c r="AO58" s="7">
        <f t="shared" si="28"/>
        <v>0.66796611868201328</v>
      </c>
      <c r="AP58" s="7">
        <f t="shared" si="29"/>
        <v>0</v>
      </c>
    </row>
    <row r="59" spans="1:42" x14ac:dyDescent="0.2">
      <c r="A59">
        <f t="shared" si="3"/>
        <v>2004</v>
      </c>
      <c r="B59" s="2">
        <f t="shared" si="33"/>
        <v>81700.998078265242</v>
      </c>
      <c r="C59" s="2"/>
      <c r="D59" s="2">
        <f t="shared" si="34"/>
        <v>85012.770517847894</v>
      </c>
      <c r="E59" s="2">
        <f t="shared" si="35"/>
        <v>48178.074658040277</v>
      </c>
      <c r="F59" s="2"/>
      <c r="G59" s="2">
        <f t="shared" si="32"/>
        <v>5718.035545701372</v>
      </c>
      <c r="H59" s="2">
        <f t="shared" si="12"/>
        <v>98102.067789034205</v>
      </c>
      <c r="I59" s="2">
        <f t="shared" si="13"/>
        <v>318711.946588889</v>
      </c>
      <c r="J59" s="2">
        <f>I59-I58</f>
        <v>27391.796428920992</v>
      </c>
      <c r="K59" s="83">
        <f>(J59/I58)</f>
        <v>9.4026439344754451E-2</v>
      </c>
      <c r="L59" s="7">
        <f t="shared" si="16"/>
        <v>1.0940264393447545</v>
      </c>
      <c r="N59">
        <f t="shared" si="17"/>
        <v>2004</v>
      </c>
      <c r="O59" s="2">
        <f t="shared" si="18"/>
        <v>8140.0485858102302</v>
      </c>
      <c r="P59" s="2"/>
      <c r="Q59" s="2"/>
      <c r="R59">
        <f t="shared" si="19"/>
        <v>2004</v>
      </c>
      <c r="S59" s="2">
        <f t="shared" si="36"/>
        <v>80072.988361103198</v>
      </c>
      <c r="T59" s="2"/>
      <c r="U59" s="2">
        <f t="shared" si="37"/>
        <v>83384.76080068585</v>
      </c>
      <c r="V59" s="2">
        <f t="shared" si="37"/>
        <v>46550.064940878234</v>
      </c>
      <c r="W59" s="2"/>
      <c r="X59" s="2">
        <f t="shared" si="38"/>
        <v>4090.0258285393261</v>
      </c>
      <c r="Y59" s="2">
        <f t="shared" si="38"/>
        <v>96474.058071872161</v>
      </c>
      <c r="Z59" s="2">
        <f t="shared" si="22"/>
        <v>310571.89800307876</v>
      </c>
      <c r="AA59" s="2">
        <f>Z59-Z58</f>
        <v>27131.75615464052</v>
      </c>
      <c r="AB59" s="83">
        <f>(AA59/Z58)</f>
        <v>9.5723054531734159E-2</v>
      </c>
      <c r="AC59" s="7">
        <f t="shared" si="25"/>
        <v>1.0957230545317342</v>
      </c>
      <c r="AD59" s="2">
        <f t="shared" si="26"/>
        <v>0</v>
      </c>
      <c r="AF59">
        <f t="shared" si="5"/>
        <v>2004</v>
      </c>
      <c r="AG59" s="6">
        <f t="shared" si="40"/>
        <v>0.25782431983047421</v>
      </c>
      <c r="AH59" s="7"/>
      <c r="AI59" s="6">
        <f t="shared" si="39"/>
        <v>0.26848778442877419</v>
      </c>
      <c r="AJ59" s="6">
        <f t="shared" si="39"/>
        <v>0.1498849871485049</v>
      </c>
      <c r="AK59" s="7"/>
      <c r="AL59" s="6">
        <f t="shared" si="31"/>
        <v>1.3169336488064289E-2</v>
      </c>
      <c r="AM59" s="6">
        <f t="shared" si="8"/>
        <v>0.31063357210418246</v>
      </c>
      <c r="AN59" s="6">
        <f t="shared" si="27"/>
        <v>1</v>
      </c>
      <c r="AO59" s="7">
        <f t="shared" si="28"/>
        <v>0.68936642789581759</v>
      </c>
      <c r="AP59" s="7">
        <f t="shared" si="29"/>
        <v>0</v>
      </c>
    </row>
    <row r="60" spans="1:42" x14ac:dyDescent="0.2">
      <c r="A60">
        <f t="shared" si="3"/>
        <v>2005</v>
      </c>
      <c r="B60" s="2">
        <f t="shared" si="33"/>
        <v>83892.469905927821</v>
      </c>
      <c r="C60" s="2"/>
      <c r="D60" s="2">
        <f t="shared" si="34"/>
        <v>95001.091827829398</v>
      </c>
      <c r="E60" s="2">
        <f t="shared" si="35"/>
        <v>49977.546222475103</v>
      </c>
      <c r="F60" s="2"/>
      <c r="G60" s="2">
        <f t="shared" si="32"/>
        <v>4726.8837503011846</v>
      </c>
      <c r="H60" s="2">
        <f t="shared" si="12"/>
        <v>98789.435465597096</v>
      </c>
      <c r="I60" s="2">
        <f t="shared" si="13"/>
        <v>332387.42717213056</v>
      </c>
      <c r="J60" s="2">
        <f t="shared" si="14"/>
        <v>13675.480583241559</v>
      </c>
      <c r="K60" s="83">
        <f t="shared" si="15"/>
        <v>4.2908591063521545E-2</v>
      </c>
      <c r="L60" s="7">
        <f t="shared" si="16"/>
        <v>1.0429085910635216</v>
      </c>
      <c r="N60">
        <f t="shared" si="17"/>
        <v>2005</v>
      </c>
      <c r="O60" s="2">
        <f t="shared" si="18"/>
        <v>8408.6701891419671</v>
      </c>
      <c r="P60" s="2"/>
      <c r="Q60" s="2"/>
      <c r="R60">
        <f t="shared" si="19"/>
        <v>2005</v>
      </c>
      <c r="S60" s="2">
        <f t="shared" si="36"/>
        <v>82210.735868099422</v>
      </c>
      <c r="T60" s="2"/>
      <c r="U60" s="2">
        <f t="shared" si="37"/>
        <v>93319.357790000999</v>
      </c>
      <c r="V60" s="2">
        <f t="shared" si="37"/>
        <v>48295.812184646711</v>
      </c>
      <c r="W60" s="2"/>
      <c r="X60" s="2">
        <f t="shared" si="38"/>
        <v>3045.1497124727912</v>
      </c>
      <c r="Y60" s="2">
        <f t="shared" si="38"/>
        <v>97107.701427768698</v>
      </c>
      <c r="Z60" s="2">
        <f t="shared" si="22"/>
        <v>323978.75698298862</v>
      </c>
      <c r="AA60" s="2">
        <f t="shared" ref="AA60:AA71" si="41">Z60-Z59</f>
        <v>13406.858979909855</v>
      </c>
      <c r="AB60" s="83">
        <f t="shared" ref="AB60:AB71" si="42">(AA60/Z59)</f>
        <v>4.3168293931658136E-2</v>
      </c>
      <c r="AC60" s="7">
        <f t="shared" si="25"/>
        <v>1.0431682939316582</v>
      </c>
      <c r="AD60" s="2">
        <f t="shared" si="26"/>
        <v>0</v>
      </c>
      <c r="AF60">
        <f t="shared" si="5"/>
        <v>2005</v>
      </c>
      <c r="AG60" s="6">
        <f t="shared" si="40"/>
        <v>0.25375347641208501</v>
      </c>
      <c r="AH60" s="7"/>
      <c r="AI60" s="6">
        <f t="shared" si="39"/>
        <v>0.28804159463733292</v>
      </c>
      <c r="AJ60" s="6">
        <f t="shared" si="39"/>
        <v>0.14907092253330242</v>
      </c>
      <c r="AK60" s="7"/>
      <c r="AL60" s="6">
        <f t="shared" si="31"/>
        <v>9.399226482718695E-3</v>
      </c>
      <c r="AM60" s="6">
        <f t="shared" si="8"/>
        <v>0.29973477993456094</v>
      </c>
      <c r="AN60" s="6">
        <f t="shared" si="27"/>
        <v>1</v>
      </c>
      <c r="AO60" s="7">
        <f t="shared" si="28"/>
        <v>0.70026522006543912</v>
      </c>
      <c r="AP60" s="7">
        <f t="shared" si="29"/>
        <v>0</v>
      </c>
    </row>
    <row r="61" spans="1:42" x14ac:dyDescent="0.2">
      <c r="A61">
        <f t="shared" si="3"/>
        <v>2006</v>
      </c>
      <c r="B61" s="2">
        <f t="shared" si="33"/>
        <v>95068.494957870178</v>
      </c>
      <c r="C61" s="2"/>
      <c r="D61" s="2">
        <f t="shared" si="34"/>
        <v>106007.99086870742</v>
      </c>
      <c r="E61" s="2">
        <f t="shared" si="35"/>
        <v>55857.004540275004</v>
      </c>
      <c r="F61" s="2"/>
      <c r="G61" s="2">
        <f t="shared" si="32"/>
        <v>3856.2862413841685</v>
      </c>
      <c r="H61" s="2">
        <f t="shared" si="12"/>
        <v>101254.20027873441</v>
      </c>
      <c r="I61" s="2">
        <f t="shared" si="13"/>
        <v>362043.97688697116</v>
      </c>
      <c r="J61" s="2">
        <f t="shared" si="14"/>
        <v>29656.549714840599</v>
      </c>
      <c r="K61" s="83">
        <f t="shared" si="15"/>
        <v>8.9222838442329602E-2</v>
      </c>
      <c r="L61" s="7">
        <f t="shared" si="16"/>
        <v>1.0892228384423297</v>
      </c>
      <c r="N61">
        <f t="shared" si="17"/>
        <v>2006</v>
      </c>
      <c r="O61" s="2">
        <f t="shared" si="18"/>
        <v>8618.8869438705151</v>
      </c>
      <c r="P61" s="2"/>
      <c r="Q61" s="2"/>
      <c r="R61">
        <f t="shared" si="19"/>
        <v>2006</v>
      </c>
      <c r="S61" s="2">
        <f t="shared" si="36"/>
        <v>93344.717569096072</v>
      </c>
      <c r="T61" s="2"/>
      <c r="U61" s="2">
        <f t="shared" si="37"/>
        <v>104284.21347993331</v>
      </c>
      <c r="V61" s="2">
        <f t="shared" si="37"/>
        <v>54133.227151500898</v>
      </c>
      <c r="W61" s="2"/>
      <c r="X61" s="2">
        <f t="shared" si="38"/>
        <v>2132.5088526100653</v>
      </c>
      <c r="Y61" s="2">
        <f t="shared" si="38"/>
        <v>99530.422889960304</v>
      </c>
      <c r="Z61" s="2">
        <f t="shared" si="22"/>
        <v>353425.0899431007</v>
      </c>
      <c r="AA61" s="2">
        <f t="shared" si="41"/>
        <v>29446.332960112079</v>
      </c>
      <c r="AB61" s="83">
        <f t="shared" si="42"/>
        <v>9.0889702875359316E-2</v>
      </c>
      <c r="AC61" s="7">
        <f t="shared" si="25"/>
        <v>1.0908897028753592</v>
      </c>
      <c r="AD61" s="2">
        <f t="shared" si="26"/>
        <v>0</v>
      </c>
      <c r="AF61">
        <f t="shared" si="5"/>
        <v>2006</v>
      </c>
      <c r="AG61" s="6">
        <f t="shared" si="40"/>
        <v>0.26411457540867855</v>
      </c>
      <c r="AH61" s="7"/>
      <c r="AI61" s="6">
        <f t="shared" si="39"/>
        <v>0.29506737480557038</v>
      </c>
      <c r="AJ61" s="6">
        <f t="shared" si="39"/>
        <v>0.15316747082165563</v>
      </c>
      <c r="AK61" s="7"/>
      <c r="AL61" s="6">
        <f t="shared" si="31"/>
        <v>6.0338354952484737E-3</v>
      </c>
      <c r="AM61" s="6">
        <f t="shared" si="8"/>
        <v>0.2816167434688468</v>
      </c>
      <c r="AN61" s="6">
        <f t="shared" si="27"/>
        <v>0.99999999999999989</v>
      </c>
      <c r="AO61" s="7">
        <f t="shared" si="28"/>
        <v>0.71838325653115309</v>
      </c>
      <c r="AP61" s="7">
        <f t="shared" si="29"/>
        <v>0</v>
      </c>
    </row>
    <row r="62" spans="1:42" x14ac:dyDescent="0.2">
      <c r="A62">
        <f t="shared" si="3"/>
        <v>2007</v>
      </c>
      <c r="B62" s="2">
        <f t="shared" si="33"/>
        <v>98375.997846070357</v>
      </c>
      <c r="C62" s="2"/>
      <c r="D62" s="2">
        <f t="shared" si="34"/>
        <v>110563.16597356011</v>
      </c>
      <c r="E62" s="2">
        <f t="shared" si="35"/>
        <v>54759.00725737225</v>
      </c>
      <c r="F62" s="2"/>
      <c r="G62" s="2">
        <f t="shared" si="32"/>
        <v>2463.5168767121995</v>
      </c>
      <c r="H62" s="2">
        <f t="shared" si="12"/>
        <v>106417.92815394556</v>
      </c>
      <c r="I62" s="2">
        <f t="shared" si="13"/>
        <v>372579.61610766046</v>
      </c>
      <c r="J62" s="2">
        <f t="shared" si="14"/>
        <v>10535.639220689307</v>
      </c>
      <c r="K62" s="83">
        <f t="shared" si="15"/>
        <v>2.9100440535649336E-2</v>
      </c>
      <c r="L62" s="7">
        <f t="shared" si="16"/>
        <v>1.0291004405356494</v>
      </c>
      <c r="N62">
        <f t="shared" si="17"/>
        <v>2007</v>
      </c>
      <c r="O62" s="2">
        <f t="shared" si="18"/>
        <v>8972.2613085692064</v>
      </c>
      <c r="P62" s="2"/>
      <c r="Q62" s="2"/>
      <c r="R62">
        <f t="shared" si="19"/>
        <v>2007</v>
      </c>
      <c r="S62" s="2">
        <f t="shared" si="36"/>
        <v>96581.545584356514</v>
      </c>
      <c r="T62" s="2"/>
      <c r="U62" s="2">
        <f t="shared" si="37"/>
        <v>108768.71371184627</v>
      </c>
      <c r="V62" s="2">
        <f t="shared" si="37"/>
        <v>52964.554995658407</v>
      </c>
      <c r="W62" s="2"/>
      <c r="X62" s="2">
        <f t="shared" si="38"/>
        <v>669.06461499835814</v>
      </c>
      <c r="Y62" s="2">
        <f t="shared" si="38"/>
        <v>104623.47589223171</v>
      </c>
      <c r="Z62" s="2">
        <f t="shared" si="22"/>
        <v>363607.35479909123</v>
      </c>
      <c r="AA62" s="2">
        <f t="shared" si="41"/>
        <v>10182.264855990536</v>
      </c>
      <c r="AB62" s="83">
        <f t="shared" si="42"/>
        <v>2.8810249033620727E-2</v>
      </c>
      <c r="AC62" s="7">
        <f t="shared" si="25"/>
        <v>1.0288102490336208</v>
      </c>
      <c r="AD62" s="2">
        <f t="shared" si="26"/>
        <v>0</v>
      </c>
      <c r="AF62">
        <f t="shared" si="5"/>
        <v>2007</v>
      </c>
      <c r="AG62" s="6">
        <f t="shared" si="40"/>
        <v>0.26562044004231428</v>
      </c>
      <c r="AH62" s="7"/>
      <c r="AI62" s="6">
        <f t="shared" si="39"/>
        <v>0.29913782621901497</v>
      </c>
      <c r="AJ62" s="6">
        <f t="shared" si="39"/>
        <v>0.14566414649374629</v>
      </c>
      <c r="AK62" s="7"/>
      <c r="AL62" s="6">
        <f t="shared" si="31"/>
        <v>1.8400744819038251E-3</v>
      </c>
      <c r="AM62" s="6">
        <f t="shared" si="8"/>
        <v>0.28773751276302073</v>
      </c>
      <c r="AN62" s="6">
        <f t="shared" si="27"/>
        <v>1</v>
      </c>
      <c r="AO62" s="7">
        <f t="shared" si="28"/>
        <v>0.71226248723697938</v>
      </c>
      <c r="AP62" s="7">
        <f t="shared" si="29"/>
        <v>0</v>
      </c>
    </row>
    <row r="63" spans="1:42" x14ac:dyDescent="0.2">
      <c r="A63">
        <f t="shared" si="3"/>
        <v>2008</v>
      </c>
      <c r="B63" s="2">
        <f t="shared" si="33"/>
        <v>60827.057409027722</v>
      </c>
      <c r="C63" s="2"/>
      <c r="D63" s="2">
        <f t="shared" si="34"/>
        <v>63277.286889003692</v>
      </c>
      <c r="E63" s="2">
        <f t="shared" si="35"/>
        <v>33860.240008724417</v>
      </c>
      <c r="F63" s="2"/>
      <c r="G63" s="2">
        <f t="shared" si="32"/>
        <v>374.0004291379322</v>
      </c>
      <c r="H63" s="2">
        <f t="shared" si="12"/>
        <v>109906.96142478941</v>
      </c>
      <c r="I63" s="2">
        <f t="shared" si="13"/>
        <v>268245.54616068315</v>
      </c>
      <c r="J63" s="2">
        <f t="shared" si="14"/>
        <v>-104334.06994697731</v>
      </c>
      <c r="K63" s="83">
        <f t="shared" si="15"/>
        <v>-0.28003161052382686</v>
      </c>
      <c r="L63" s="7">
        <f t="shared" si="16"/>
        <v>0.71996838947617314</v>
      </c>
      <c r="N63">
        <f t="shared" si="17"/>
        <v>2008</v>
      </c>
      <c r="O63" s="2">
        <f t="shared" si="18"/>
        <v>8972.2613085692064</v>
      </c>
      <c r="P63" s="2"/>
      <c r="Q63" s="2"/>
      <c r="R63">
        <f t="shared" si="19"/>
        <v>2008</v>
      </c>
      <c r="S63" s="2">
        <f>B63-(($O63-$G63)/4)</f>
        <v>58677.492189169905</v>
      </c>
      <c r="T63" s="2"/>
      <c r="U63" s="2">
        <f>D63-(($O63-$G63)/4)</f>
        <v>61127.721669145874</v>
      </c>
      <c r="V63" s="2">
        <f>E63-(($O63-$G63)/4)</f>
        <v>31710.6747888666</v>
      </c>
      <c r="W63" s="2"/>
      <c r="X63" s="2">
        <f>G63-G63</f>
        <v>0</v>
      </c>
      <c r="Y63" s="2">
        <f>H63-(($O63-$G63)/4)</f>
        <v>107757.39620493159</v>
      </c>
      <c r="Z63" s="2">
        <f t="shared" si="22"/>
        <v>259273.28485211398</v>
      </c>
      <c r="AA63" s="2">
        <f t="shared" si="41"/>
        <v>-104334.06994697725</v>
      </c>
      <c r="AB63" s="83">
        <f t="shared" si="42"/>
        <v>-0.28694158291882277</v>
      </c>
      <c r="AC63" s="7">
        <f t="shared" si="25"/>
        <v>0.71305841708117723</v>
      </c>
      <c r="AD63" s="2">
        <f t="shared" si="26"/>
        <v>0</v>
      </c>
      <c r="AF63">
        <f t="shared" si="5"/>
        <v>2008</v>
      </c>
      <c r="AG63" s="6">
        <f t="shared" si="40"/>
        <v>0.22631522650950622</v>
      </c>
      <c r="AH63" s="7"/>
      <c r="AI63" s="6">
        <f t="shared" si="39"/>
        <v>0.23576560039347019</v>
      </c>
      <c r="AJ63" s="6">
        <f t="shared" si="39"/>
        <v>0.1223059861603325</v>
      </c>
      <c r="AK63" s="7"/>
      <c r="AL63" s="6">
        <f t="shared" si="31"/>
        <v>0</v>
      </c>
      <c r="AM63" s="6">
        <f t="shared" si="8"/>
        <v>0.41561318693669103</v>
      </c>
      <c r="AN63" s="6">
        <f t="shared" si="27"/>
        <v>1</v>
      </c>
      <c r="AO63" s="7">
        <f t="shared" si="28"/>
        <v>0.58438681306330897</v>
      </c>
      <c r="AP63" s="7">
        <f t="shared" si="29"/>
        <v>0</v>
      </c>
    </row>
    <row r="64" spans="1:42" x14ac:dyDescent="0.2">
      <c r="A64">
        <f t="shared" si="3"/>
        <v>2009</v>
      </c>
      <c r="B64" s="2">
        <f t="shared" si="33"/>
        <v>74221.159870081014</v>
      </c>
      <c r="C64" s="2"/>
      <c r="D64" s="2">
        <f t="shared" si="34"/>
        <v>85712.068770042955</v>
      </c>
      <c r="E64" s="2">
        <f t="shared" si="35"/>
        <v>43163.936309109442</v>
      </c>
      <c r="F64" s="2"/>
      <c r="G64" s="2">
        <f t="shared" si="32"/>
        <v>0</v>
      </c>
      <c r="H64" s="2">
        <f t="shared" si="12"/>
        <v>114147.40979988402</v>
      </c>
      <c r="I64" s="2">
        <f t="shared" si="13"/>
        <v>317244.57474911743</v>
      </c>
      <c r="J64" s="2">
        <f t="shared" si="14"/>
        <v>48999.028588434274</v>
      </c>
      <c r="K64" s="83">
        <f t="shared" si="15"/>
        <v>0.18266483559463503</v>
      </c>
      <c r="L64" s="7">
        <f t="shared" si="16"/>
        <v>1.182664835594635</v>
      </c>
      <c r="N64">
        <f t="shared" si="17"/>
        <v>2009</v>
      </c>
      <c r="O64" s="2">
        <f t="shared" si="18"/>
        <v>9223.4846252091447</v>
      </c>
      <c r="P64" s="2"/>
      <c r="Q64" s="2"/>
      <c r="R64">
        <f t="shared" si="19"/>
        <v>2009</v>
      </c>
      <c r="S64" s="2">
        <f>B64-($O64/4)</f>
        <v>71915.288713778733</v>
      </c>
      <c r="T64" s="2"/>
      <c r="U64" s="2">
        <f>D64-($O64/4)</f>
        <v>83406.197613740675</v>
      </c>
      <c r="V64" s="2">
        <f>E64-($O64/4)</f>
        <v>40858.065152807154</v>
      </c>
      <c r="W64" s="2"/>
      <c r="X64" s="2">
        <f t="shared" ref="X64:X75" si="43">G64-G64</f>
        <v>0</v>
      </c>
      <c r="Y64" s="2">
        <f>H64-($O64/4)</f>
        <v>111841.53864358173</v>
      </c>
      <c r="Z64" s="2">
        <f t="shared" si="22"/>
        <v>308021.0901239083</v>
      </c>
      <c r="AA64" s="2">
        <f t="shared" si="41"/>
        <v>48747.805271794321</v>
      </c>
      <c r="AB64" s="83">
        <f t="shared" si="42"/>
        <v>0.18801707742314994</v>
      </c>
      <c r="AC64" s="7">
        <f t="shared" si="25"/>
        <v>1.18801707742315</v>
      </c>
      <c r="AD64" s="2">
        <f t="shared" si="26"/>
        <v>0</v>
      </c>
      <c r="AF64">
        <f t="shared" si="5"/>
        <v>2009</v>
      </c>
      <c r="AG64" s="6">
        <f t="shared" si="40"/>
        <v>0.23347521004113458</v>
      </c>
      <c r="AH64" s="7"/>
      <c r="AI64" s="6">
        <f t="shared" si="39"/>
        <v>0.27078080134119609</v>
      </c>
      <c r="AJ64" s="6">
        <f t="shared" si="39"/>
        <v>0.13264697276530998</v>
      </c>
      <c r="AK64" s="7"/>
      <c r="AL64" s="6">
        <f t="shared" si="31"/>
        <v>0</v>
      </c>
      <c r="AM64" s="6">
        <f t="shared" si="8"/>
        <v>0.36309701585235932</v>
      </c>
      <c r="AN64" s="6">
        <f t="shared" si="27"/>
        <v>1</v>
      </c>
      <c r="AO64" s="7">
        <f t="shared" si="28"/>
        <v>0.63690298414764068</v>
      </c>
      <c r="AP64" s="7">
        <f t="shared" si="29"/>
        <v>0</v>
      </c>
    </row>
    <row r="65" spans="1:42" x14ac:dyDescent="0.2">
      <c r="A65">
        <f t="shared" si="3"/>
        <v>2010</v>
      </c>
      <c r="B65" s="2">
        <f t="shared" si="33"/>
        <v>82637.858261003144</v>
      </c>
      <c r="C65" s="2"/>
      <c r="D65" s="2">
        <f t="shared" si="34"/>
        <v>104641.41552619904</v>
      </c>
      <c r="E65" s="2">
        <f t="shared" si="35"/>
        <v>52183.920813165299</v>
      </c>
      <c r="F65" s="2"/>
      <c r="G65" s="2">
        <f t="shared" si="32"/>
        <v>0</v>
      </c>
      <c r="H65" s="2">
        <f t="shared" si="12"/>
        <v>119021.76542449968</v>
      </c>
      <c r="I65" s="2">
        <f t="shared" si="13"/>
        <v>358484.96002486721</v>
      </c>
      <c r="J65" s="2">
        <f t="shared" si="14"/>
        <v>41240.385275749781</v>
      </c>
      <c r="K65" s="83">
        <f t="shared" si="15"/>
        <v>0.12999555723959472</v>
      </c>
      <c r="L65" s="7">
        <f t="shared" si="16"/>
        <v>1.1299955572395948</v>
      </c>
      <c r="N65">
        <f t="shared" si="17"/>
        <v>2010</v>
      </c>
      <c r="O65" s="2">
        <f t="shared" si="18"/>
        <v>9352.6134099620722</v>
      </c>
      <c r="P65" s="2"/>
      <c r="Q65" s="2"/>
      <c r="R65">
        <f t="shared" si="19"/>
        <v>2010</v>
      </c>
      <c r="S65" s="2">
        <f t="shared" ref="S65:S75" si="44">B65-($O65/4)</f>
        <v>80299.70490851262</v>
      </c>
      <c r="T65" s="2"/>
      <c r="U65" s="2">
        <f t="shared" ref="U65:U75" si="45">D65-($O65/4)</f>
        <v>102303.26217370851</v>
      </c>
      <c r="V65" s="2">
        <f t="shared" ref="V65:V75" si="46">E65-($O65/4)</f>
        <v>49845.767460674782</v>
      </c>
      <c r="W65" s="2"/>
      <c r="X65" s="2">
        <f t="shared" si="43"/>
        <v>0</v>
      </c>
      <c r="Y65" s="2">
        <f t="shared" ref="Y65:Y75" si="47">H65-($O65/4)</f>
        <v>116683.61207200916</v>
      </c>
      <c r="Z65" s="2">
        <f t="shared" si="22"/>
        <v>349132.34661490505</v>
      </c>
      <c r="AA65" s="2">
        <f t="shared" si="41"/>
        <v>41111.256490996748</v>
      </c>
      <c r="AB65" s="83">
        <f t="shared" si="42"/>
        <v>0.13346896627909094</v>
      </c>
      <c r="AC65" s="7">
        <f t="shared" si="25"/>
        <v>1.1334689662790909</v>
      </c>
      <c r="AD65" s="2">
        <f t="shared" si="26"/>
        <v>0</v>
      </c>
      <c r="AF65">
        <f t="shared" si="5"/>
        <v>2010</v>
      </c>
      <c r="AG65" s="6">
        <f t="shared" si="40"/>
        <v>0.22999789531699749</v>
      </c>
      <c r="AH65" s="7"/>
      <c r="AI65" s="6">
        <f t="shared" si="39"/>
        <v>0.29302143776024736</v>
      </c>
      <c r="AJ65" s="6">
        <f t="shared" si="39"/>
        <v>0.14277040768054342</v>
      </c>
      <c r="AK65" s="7"/>
      <c r="AL65" s="6">
        <f t="shared" si="31"/>
        <v>0</v>
      </c>
      <c r="AM65" s="6">
        <f t="shared" si="8"/>
        <v>0.33421025924221176</v>
      </c>
      <c r="AN65" s="6">
        <f t="shared" si="27"/>
        <v>1</v>
      </c>
      <c r="AO65" s="7">
        <f t="shared" si="28"/>
        <v>0.66578974075778818</v>
      </c>
      <c r="AP65" s="7">
        <f t="shared" si="29"/>
        <v>0</v>
      </c>
    </row>
    <row r="66" spans="1:42" x14ac:dyDescent="0.2">
      <c r="A66">
        <f t="shared" si="3"/>
        <v>2011</v>
      </c>
      <c r="B66" s="2">
        <f t="shared" si="33"/>
        <v>81881.609095210326</v>
      </c>
      <c r="C66" s="2"/>
      <c r="D66" s="2">
        <f t="shared" si="34"/>
        <v>100144.66334184326</v>
      </c>
      <c r="E66" s="2">
        <f t="shared" si="35"/>
        <v>48450.085971775887</v>
      </c>
      <c r="F66" s="2"/>
      <c r="G66" s="2">
        <f t="shared" si="32"/>
        <v>0</v>
      </c>
      <c r="H66" s="2">
        <f t="shared" si="12"/>
        <v>125504.89314465306</v>
      </c>
      <c r="I66" s="2">
        <f t="shared" si="13"/>
        <v>355981.25155348255</v>
      </c>
      <c r="J66" s="2">
        <f t="shared" si="14"/>
        <v>-2503.7084713846561</v>
      </c>
      <c r="K66" s="83">
        <f t="shared" si="15"/>
        <v>-6.9841381105945986E-3</v>
      </c>
      <c r="L66" s="7">
        <f t="shared" si="16"/>
        <v>0.99301586188940538</v>
      </c>
      <c r="N66">
        <f t="shared" si="17"/>
        <v>2011</v>
      </c>
      <c r="O66" s="2">
        <f t="shared" si="18"/>
        <v>9633.191812260935</v>
      </c>
      <c r="P66" s="2"/>
      <c r="Q66" s="2"/>
      <c r="R66">
        <f t="shared" si="19"/>
        <v>2011</v>
      </c>
      <c r="S66" s="2">
        <f t="shared" si="44"/>
        <v>79473.311142145089</v>
      </c>
      <c r="T66" s="2"/>
      <c r="U66" s="2">
        <f t="shared" si="45"/>
        <v>97736.365388778024</v>
      </c>
      <c r="V66" s="2">
        <f t="shared" si="46"/>
        <v>46041.788018710649</v>
      </c>
      <c r="W66" s="2"/>
      <c r="X66" s="2">
        <f t="shared" si="43"/>
        <v>0</v>
      </c>
      <c r="Y66" s="2">
        <f t="shared" si="47"/>
        <v>123096.59519158782</v>
      </c>
      <c r="Z66" s="2">
        <f t="shared" si="22"/>
        <v>346348.0597412216</v>
      </c>
      <c r="AA66" s="2">
        <f t="shared" si="41"/>
        <v>-2784.2868736834498</v>
      </c>
      <c r="AB66" s="83">
        <f t="shared" si="42"/>
        <v>-7.9748751459988148E-3</v>
      </c>
      <c r="AC66" s="7">
        <f t="shared" si="25"/>
        <v>0.99202512485400118</v>
      </c>
      <c r="AD66" s="2">
        <f t="shared" si="26"/>
        <v>0</v>
      </c>
      <c r="AF66">
        <f t="shared" si="5"/>
        <v>2011</v>
      </c>
      <c r="AG66" s="6">
        <f t="shared" si="40"/>
        <v>0.22946082389352662</v>
      </c>
      <c r="AH66" s="7"/>
      <c r="AI66" s="6">
        <f t="shared" si="39"/>
        <v>0.28219117341613809</v>
      </c>
      <c r="AJ66" s="6">
        <f t="shared" si="39"/>
        <v>0.13293502511061087</v>
      </c>
      <c r="AK66" s="7"/>
      <c r="AL66" s="6">
        <f t="shared" si="31"/>
        <v>0</v>
      </c>
      <c r="AM66" s="6">
        <f t="shared" si="8"/>
        <v>0.35541297757972434</v>
      </c>
      <c r="AN66" s="6">
        <f t="shared" si="27"/>
        <v>0.99999999999999989</v>
      </c>
      <c r="AO66" s="7">
        <f t="shared" si="28"/>
        <v>0.64458702242027555</v>
      </c>
      <c r="AP66" s="7">
        <f t="shared" si="29"/>
        <v>0</v>
      </c>
    </row>
    <row r="67" spans="1:42" x14ac:dyDescent="0.2">
      <c r="A67">
        <f t="shared" si="3"/>
        <v>2012</v>
      </c>
      <c r="B67" s="2">
        <f t="shared" si="33"/>
        <v>92045.988964832432</v>
      </c>
      <c r="C67" s="2"/>
      <c r="D67" s="2">
        <f t="shared" si="34"/>
        <v>113178.71112020494</v>
      </c>
      <c r="E67" s="2">
        <f t="shared" si="35"/>
        <v>54347.726577286056</v>
      </c>
      <c r="F67" s="2"/>
      <c r="G67" s="2">
        <f t="shared" si="32"/>
        <v>0</v>
      </c>
      <c r="H67" s="2">
        <f t="shared" si="12"/>
        <v>128082.00729684714</v>
      </c>
      <c r="I67" s="2">
        <f t="shared" si="13"/>
        <v>387654.43395917059</v>
      </c>
      <c r="J67" s="2">
        <f t="shared" si="14"/>
        <v>31673.182405688043</v>
      </c>
      <c r="K67" s="83">
        <f t="shared" si="15"/>
        <v>8.8974299257244649E-2</v>
      </c>
      <c r="L67" s="7">
        <f t="shared" si="16"/>
        <v>1.0889742992572446</v>
      </c>
      <c r="N67">
        <f t="shared" si="17"/>
        <v>2012</v>
      </c>
      <c r="O67" s="2">
        <f t="shared" si="18"/>
        <v>9806.5892648816316</v>
      </c>
      <c r="P67" s="2"/>
      <c r="Q67" s="2"/>
      <c r="R67">
        <f t="shared" si="19"/>
        <v>2012</v>
      </c>
      <c r="S67" s="2">
        <f t="shared" si="44"/>
        <v>89594.341648612026</v>
      </c>
      <c r="T67" s="2"/>
      <c r="U67" s="2">
        <f t="shared" si="45"/>
        <v>110727.06380398454</v>
      </c>
      <c r="V67" s="2">
        <f t="shared" si="46"/>
        <v>51896.07926106565</v>
      </c>
      <c r="W67" s="2"/>
      <c r="X67" s="2">
        <f t="shared" si="43"/>
        <v>0</v>
      </c>
      <c r="Y67" s="2">
        <f t="shared" si="47"/>
        <v>125630.35998062673</v>
      </c>
      <c r="Z67" s="2">
        <f t="shared" si="22"/>
        <v>377847.84469428891</v>
      </c>
      <c r="AA67" s="2">
        <f t="shared" si="41"/>
        <v>31499.784953067312</v>
      </c>
      <c r="AB67" s="83">
        <f t="shared" si="42"/>
        <v>9.0948351137300376E-2</v>
      </c>
      <c r="AC67" s="7">
        <f t="shared" si="25"/>
        <v>1.0909483511373004</v>
      </c>
      <c r="AD67" s="2">
        <f t="shared" si="26"/>
        <v>0</v>
      </c>
      <c r="AF67">
        <f t="shared" si="5"/>
        <v>2012</v>
      </c>
      <c r="AG67" s="6">
        <f t="shared" si="40"/>
        <v>0.23711751411762447</v>
      </c>
      <c r="AH67" s="7"/>
      <c r="AI67" s="6">
        <f t="shared" si="39"/>
        <v>0.29304669950829587</v>
      </c>
      <c r="AJ67" s="6">
        <f t="shared" si="39"/>
        <v>0.13734650068747645</v>
      </c>
      <c r="AK67" s="7"/>
      <c r="AL67" s="6">
        <f t="shared" si="31"/>
        <v>0</v>
      </c>
      <c r="AM67" s="6">
        <f t="shared" si="8"/>
        <v>0.3324892856866033</v>
      </c>
      <c r="AN67" s="6">
        <f t="shared" si="27"/>
        <v>1</v>
      </c>
      <c r="AO67" s="7">
        <f t="shared" si="28"/>
        <v>0.66751071431339681</v>
      </c>
      <c r="AP67" s="7">
        <f t="shared" si="29"/>
        <v>0</v>
      </c>
    </row>
    <row r="68" spans="1:42" x14ac:dyDescent="0.2">
      <c r="A68">
        <f t="shared" si="3"/>
        <v>2013</v>
      </c>
      <c r="B68" s="2">
        <f t="shared" si="33"/>
        <v>118425.80079113538</v>
      </c>
      <c r="C68" s="2"/>
      <c r="D68" s="2">
        <f t="shared" si="34"/>
        <v>149481.53613537914</v>
      </c>
      <c r="E68" s="2">
        <f t="shared" si="35"/>
        <v>71419.384279078542</v>
      </c>
      <c r="F68" s="2"/>
      <c r="G68" s="2">
        <f t="shared" si="32"/>
        <v>0</v>
      </c>
      <c r="H68" s="2">
        <f t="shared" si="12"/>
        <v>122791.11384506457</v>
      </c>
      <c r="I68" s="2">
        <f t="shared" ref="I68:I69" si="48">SUM(B68:H68)</f>
        <v>462117.83505065762</v>
      </c>
      <c r="J68" s="2">
        <f t="shared" si="14"/>
        <v>74463.40109148703</v>
      </c>
      <c r="K68" s="83">
        <f t="shared" si="15"/>
        <v>0.19208706148664825</v>
      </c>
      <c r="L68" s="7">
        <f t="shared" si="16"/>
        <v>1.1920870614866483</v>
      </c>
      <c r="N68">
        <f t="shared" si="17"/>
        <v>2013</v>
      </c>
      <c r="O68" s="2">
        <f t="shared" si="18"/>
        <v>9919.9133970045659</v>
      </c>
      <c r="P68" s="2"/>
      <c r="Q68" s="2"/>
      <c r="R68">
        <f t="shared" si="19"/>
        <v>2013</v>
      </c>
      <c r="S68" s="2">
        <f t="shared" si="44"/>
        <v>115945.82244188423</v>
      </c>
      <c r="T68" s="2"/>
      <c r="U68" s="2">
        <f t="shared" si="45"/>
        <v>147001.55778612799</v>
      </c>
      <c r="V68" s="2">
        <f t="shared" si="46"/>
        <v>68939.405929827393</v>
      </c>
      <c r="W68" s="2"/>
      <c r="X68" s="2">
        <f t="shared" si="43"/>
        <v>0</v>
      </c>
      <c r="Y68" s="2">
        <f t="shared" si="47"/>
        <v>120311.13549581342</v>
      </c>
      <c r="Z68" s="2">
        <f t="shared" si="22"/>
        <v>452197.92165365303</v>
      </c>
      <c r="AA68" s="2">
        <f t="shared" si="41"/>
        <v>74350.076959364116</v>
      </c>
      <c r="AB68" s="83">
        <f t="shared" si="42"/>
        <v>0.19677253159805547</v>
      </c>
      <c r="AC68" s="7">
        <f t="shared" si="25"/>
        <v>1.1967725315980555</v>
      </c>
      <c r="AD68" s="2">
        <f t="shared" si="26"/>
        <v>0</v>
      </c>
      <c r="AF68">
        <f t="shared" si="5"/>
        <v>2013</v>
      </c>
      <c r="AG68" s="6">
        <f t="shared" si="40"/>
        <v>0.25640503171239548</v>
      </c>
      <c r="AH68" s="7"/>
      <c r="AI68" s="6">
        <f t="shared" si="39"/>
        <v>0.32508233838969136</v>
      </c>
      <c r="AJ68" s="6">
        <f t="shared" si="39"/>
        <v>0.15245405303439097</v>
      </c>
      <c r="AK68" s="7"/>
      <c r="AL68" s="6">
        <f t="shared" si="31"/>
        <v>0</v>
      </c>
      <c r="AM68" s="6">
        <f t="shared" si="8"/>
        <v>0.26605857686352219</v>
      </c>
      <c r="AN68" s="6">
        <f t="shared" si="27"/>
        <v>1</v>
      </c>
      <c r="AO68" s="7">
        <f t="shared" si="28"/>
        <v>0.73394142313647781</v>
      </c>
      <c r="AP68" s="7">
        <f t="shared" si="29"/>
        <v>0</v>
      </c>
    </row>
    <row r="69" spans="1:42" x14ac:dyDescent="0.2">
      <c r="A69">
        <f t="shared" si="3"/>
        <v>2014</v>
      </c>
      <c r="B69" s="2">
        <f t="shared" si="33"/>
        <v>131610.10305378278</v>
      </c>
      <c r="C69" s="2"/>
      <c r="D69" s="2">
        <f t="shared" si="34"/>
        <v>166993.76964504141</v>
      </c>
      <c r="E69" s="2">
        <f t="shared" si="35"/>
        <v>74020.240146855678</v>
      </c>
      <c r="F69" s="2"/>
      <c r="G69" s="2">
        <f t="shared" si="32"/>
        <v>0</v>
      </c>
      <c r="H69" s="2">
        <f t="shared" si="12"/>
        <v>127241.05690037228</v>
      </c>
      <c r="I69" s="2">
        <f t="shared" si="48"/>
        <v>499865.16974605212</v>
      </c>
      <c r="J69" s="2">
        <f t="shared" si="14"/>
        <v>37747.3346953945</v>
      </c>
      <c r="K69" s="83">
        <f t="shared" si="15"/>
        <v>8.1683353968055816E-2</v>
      </c>
      <c r="L69" s="7">
        <f t="shared" si="16"/>
        <v>1.0816833539680557</v>
      </c>
      <c r="N69">
        <f t="shared" si="17"/>
        <v>2014</v>
      </c>
      <c r="O69" s="2">
        <f t="shared" si="18"/>
        <v>10047.880279825924</v>
      </c>
      <c r="P69" s="2"/>
      <c r="R69">
        <f t="shared" si="19"/>
        <v>2014</v>
      </c>
      <c r="S69" s="2">
        <f t="shared" si="44"/>
        <v>129098.13298382629</v>
      </c>
      <c r="T69" s="2"/>
      <c r="U69" s="2">
        <f t="shared" si="45"/>
        <v>164481.79957508494</v>
      </c>
      <c r="V69" s="2">
        <f t="shared" si="46"/>
        <v>71508.270076899193</v>
      </c>
      <c r="W69" s="2"/>
      <c r="X69" s="2">
        <f t="shared" si="43"/>
        <v>0</v>
      </c>
      <c r="Y69" s="2">
        <f t="shared" si="47"/>
        <v>124729.08683041579</v>
      </c>
      <c r="Z69" s="2">
        <f t="shared" si="22"/>
        <v>489817.28946622624</v>
      </c>
      <c r="AA69" s="2">
        <f t="shared" si="41"/>
        <v>37619.367812573211</v>
      </c>
      <c r="AB69" s="83">
        <f t="shared" si="42"/>
        <v>8.3192261642871065E-2</v>
      </c>
      <c r="AC69" s="7">
        <f t="shared" si="25"/>
        <v>1.0831922616428711</v>
      </c>
      <c r="AD69" s="2">
        <f t="shared" si="26"/>
        <v>0</v>
      </c>
      <c r="AF69">
        <f t="shared" si="5"/>
        <v>2014</v>
      </c>
      <c r="AG69" s="6">
        <f t="shared" si="40"/>
        <v>0.26356385484985589</v>
      </c>
      <c r="AH69" s="7"/>
      <c r="AI69" s="6">
        <f t="shared" si="39"/>
        <v>0.33580235551572185</v>
      </c>
      <c r="AJ69" s="6">
        <f t="shared" si="39"/>
        <v>0.14598968148883568</v>
      </c>
      <c r="AK69" s="7"/>
      <c r="AL69" s="6">
        <f t="shared" si="31"/>
        <v>0</v>
      </c>
      <c r="AM69" s="6">
        <f t="shared" si="8"/>
        <v>0.25464410814558658</v>
      </c>
      <c r="AN69" s="6">
        <f t="shared" si="27"/>
        <v>1</v>
      </c>
      <c r="AO69" s="7">
        <f t="shared" si="28"/>
        <v>0.74535589185441342</v>
      </c>
      <c r="AP69" s="7">
        <f t="shared" si="29"/>
        <v>0</v>
      </c>
    </row>
    <row r="70" spans="1:42" x14ac:dyDescent="0.2">
      <c r="A70">
        <f t="shared" si="3"/>
        <v>2015</v>
      </c>
      <c r="B70" s="2">
        <f t="shared" si="33"/>
        <v>130711.85964612411</v>
      </c>
      <c r="C70" s="2"/>
      <c r="D70" s="2">
        <f t="shared" si="34"/>
        <v>162080.36530128869</v>
      </c>
      <c r="E70" s="2">
        <f t="shared" si="35"/>
        <v>68805.2574679924</v>
      </c>
      <c r="F70" s="2"/>
      <c r="G70" s="2">
        <f t="shared" si="32"/>
        <v>0</v>
      </c>
      <c r="H70" s="2">
        <f t="shared" si="12"/>
        <v>125103.27409090703</v>
      </c>
      <c r="I70" s="2">
        <f t="shared" ref="I70:I71" si="49">SUM(B70:H70)</f>
        <v>486700.75650631223</v>
      </c>
      <c r="J70" s="2">
        <f t="shared" si="14"/>
        <v>-13164.413239739893</v>
      </c>
      <c r="K70" s="83">
        <f t="shared" si="15"/>
        <v>-2.6335928239264693E-2</v>
      </c>
      <c r="L70" s="7">
        <f t="shared" si="16"/>
        <v>0.97366407176073533</v>
      </c>
      <c r="N70">
        <f t="shared" si="17"/>
        <v>2015</v>
      </c>
      <c r="O70" s="2">
        <f t="shared" si="18"/>
        <v>10092.090953057157</v>
      </c>
      <c r="P70" s="2"/>
      <c r="R70">
        <f t="shared" si="19"/>
        <v>2015</v>
      </c>
      <c r="S70" s="2">
        <f t="shared" si="44"/>
        <v>128188.83690785982</v>
      </c>
      <c r="T70" s="2"/>
      <c r="U70" s="2">
        <f t="shared" si="45"/>
        <v>159557.3425630244</v>
      </c>
      <c r="V70" s="2">
        <f t="shared" si="46"/>
        <v>66282.234729728109</v>
      </c>
      <c r="W70" s="2"/>
      <c r="X70" s="2">
        <f t="shared" si="43"/>
        <v>0</v>
      </c>
      <c r="Y70" s="2">
        <f t="shared" si="47"/>
        <v>122580.25135264274</v>
      </c>
      <c r="Z70" s="2">
        <f t="shared" si="22"/>
        <v>476608.66555325506</v>
      </c>
      <c r="AA70" s="2">
        <f t="shared" si="41"/>
        <v>-13208.623912971176</v>
      </c>
      <c r="AB70" s="83">
        <f t="shared" si="42"/>
        <v>-2.6966430538548667E-2</v>
      </c>
      <c r="AC70" s="7">
        <f t="shared" si="25"/>
        <v>0.97303356946145136</v>
      </c>
      <c r="AD70" s="2">
        <f t="shared" si="26"/>
        <v>0</v>
      </c>
      <c r="AF70">
        <f t="shared" si="5"/>
        <v>2015</v>
      </c>
      <c r="AG70" s="6">
        <f t="shared" si="40"/>
        <v>0.26896035714973027</v>
      </c>
      <c r="AH70" s="7"/>
      <c r="AI70" s="6">
        <f t="shared" si="39"/>
        <v>0.33477641951349679</v>
      </c>
      <c r="AJ70" s="6">
        <f t="shared" si="39"/>
        <v>0.1390705614904979</v>
      </c>
      <c r="AK70" s="7"/>
      <c r="AL70" s="6">
        <f t="shared" si="31"/>
        <v>0</v>
      </c>
      <c r="AM70" s="6">
        <f t="shared" si="8"/>
        <v>0.25719266184627504</v>
      </c>
      <c r="AN70" s="6">
        <f t="shared" si="27"/>
        <v>1</v>
      </c>
      <c r="AO70" s="7">
        <f t="shared" si="28"/>
        <v>0.74280733815372502</v>
      </c>
      <c r="AP70" s="7">
        <f t="shared" si="29"/>
        <v>0</v>
      </c>
    </row>
    <row r="71" spans="1:42" x14ac:dyDescent="0.2">
      <c r="A71">
        <f t="shared" si="3"/>
        <v>2016</v>
      </c>
      <c r="B71" s="2">
        <f t="shared" si="33"/>
        <v>143340.75743036886</v>
      </c>
      <c r="C71" s="2"/>
      <c r="D71" s="2">
        <f t="shared" si="34"/>
        <v>177220.34038475121</v>
      </c>
      <c r="E71" s="2">
        <f t="shared" si="35"/>
        <v>78325.716780119707</v>
      </c>
      <c r="F71" s="2"/>
      <c r="G71" s="2">
        <f t="shared" si="32"/>
        <v>0</v>
      </c>
      <c r="H71" s="2">
        <f t="shared" si="12"/>
        <v>125644.75763645879</v>
      </c>
      <c r="I71" s="2">
        <f t="shared" si="49"/>
        <v>524531.57223169855</v>
      </c>
      <c r="J71" s="2">
        <f t="shared" si="14"/>
        <v>37830.815725386317</v>
      </c>
      <c r="K71" s="83">
        <f t="shared" si="15"/>
        <v>7.7729108121687651E-2</v>
      </c>
      <c r="L71" s="7">
        <f t="shared" si="16"/>
        <v>1.0777291081216878</v>
      </c>
      <c r="N71">
        <f t="shared" si="17"/>
        <v>2016</v>
      </c>
      <c r="O71" s="2">
        <f t="shared" si="18"/>
        <v>10263.656499259128</v>
      </c>
      <c r="P71" s="2"/>
      <c r="R71">
        <f t="shared" si="19"/>
        <v>2016</v>
      </c>
      <c r="S71" s="2">
        <f t="shared" si="44"/>
        <v>140774.84330555407</v>
      </c>
      <c r="T71" s="2"/>
      <c r="U71" s="2">
        <f t="shared" si="45"/>
        <v>174654.42625993642</v>
      </c>
      <c r="V71" s="2">
        <f t="shared" si="46"/>
        <v>75759.802655304928</v>
      </c>
      <c r="W71" s="2"/>
      <c r="X71" s="2">
        <f t="shared" si="43"/>
        <v>0</v>
      </c>
      <c r="Y71" s="2">
        <f t="shared" si="47"/>
        <v>123078.84351164401</v>
      </c>
      <c r="Z71" s="2">
        <f t="shared" si="22"/>
        <v>514267.91573243943</v>
      </c>
      <c r="AA71" s="2">
        <f t="shared" si="41"/>
        <v>37659.250179184368</v>
      </c>
      <c r="AB71" s="83">
        <f t="shared" si="42"/>
        <v>7.9015034557688754E-2</v>
      </c>
      <c r="AC71" s="7">
        <f t="shared" si="25"/>
        <v>1.0790150345576888</v>
      </c>
      <c r="AD71" s="2">
        <f t="shared" si="26"/>
        <v>0</v>
      </c>
      <c r="AF71">
        <f t="shared" si="5"/>
        <v>2016</v>
      </c>
      <c r="AG71" s="6">
        <f t="shared" si="40"/>
        <v>0.2737383356009237</v>
      </c>
      <c r="AH71" s="7"/>
      <c r="AI71" s="6">
        <f t="shared" ref="AI71:AJ71" si="50">U71/$Z71</f>
        <v>0.33961758242527557</v>
      </c>
      <c r="AJ71" s="6">
        <f t="shared" si="50"/>
        <v>0.14731582573531737</v>
      </c>
      <c r="AK71" s="7"/>
      <c r="AL71" s="6">
        <f t="shared" si="31"/>
        <v>0</v>
      </c>
      <c r="AM71" s="6">
        <f t="shared" si="8"/>
        <v>0.23932825623848331</v>
      </c>
      <c r="AN71" s="6">
        <f t="shared" si="27"/>
        <v>1</v>
      </c>
      <c r="AO71" s="7">
        <f t="shared" si="28"/>
        <v>0.76067174376151669</v>
      </c>
      <c r="AP71" s="7">
        <f t="shared" si="29"/>
        <v>0</v>
      </c>
    </row>
    <row r="72" spans="1:42" x14ac:dyDescent="0.2">
      <c r="A72">
        <f t="shared" si="3"/>
        <v>2017</v>
      </c>
      <c r="B72" s="2">
        <f t="shared" si="33"/>
        <v>171280.75184986761</v>
      </c>
      <c r="C72" s="2"/>
      <c r="D72" s="2">
        <f t="shared" si="34"/>
        <v>208886.69380688394</v>
      </c>
      <c r="E72" s="2">
        <f t="shared" si="35"/>
        <v>87957.130882809026</v>
      </c>
      <c r="F72" s="2"/>
      <c r="G72" s="2">
        <f t="shared" si="32"/>
        <v>0</v>
      </c>
      <c r="H72" s="2">
        <f t="shared" si="12"/>
        <v>127337.37149714689</v>
      </c>
      <c r="I72" s="2">
        <f>SUM(B72:H72)</f>
        <v>595461.94803670747</v>
      </c>
      <c r="J72" s="2">
        <f>I72-I71</f>
        <v>70930.375805008924</v>
      </c>
      <c r="K72" s="83">
        <f>(J72/I71)</f>
        <v>0.13522613234361652</v>
      </c>
      <c r="L72" s="7">
        <f>K72+1</f>
        <v>1.1352261323436166</v>
      </c>
      <c r="N72">
        <f>A72</f>
        <v>2017</v>
      </c>
      <c r="O72" s="2">
        <f t="shared" si="18"/>
        <v>10492.536039192606</v>
      </c>
      <c r="P72" s="2"/>
      <c r="R72">
        <f>A72</f>
        <v>2017</v>
      </c>
      <c r="S72" s="2">
        <f t="shared" si="44"/>
        <v>168657.61784006946</v>
      </c>
      <c r="T72" s="2"/>
      <c r="U72" s="2">
        <f t="shared" si="45"/>
        <v>206263.55979708579</v>
      </c>
      <c r="V72" s="2">
        <f t="shared" si="46"/>
        <v>85333.996873010881</v>
      </c>
      <c r="W72" s="2"/>
      <c r="X72" s="2">
        <f t="shared" si="43"/>
        <v>0</v>
      </c>
      <c r="Y72" s="2">
        <f t="shared" si="47"/>
        <v>124714.23748734874</v>
      </c>
      <c r="Z72" s="2">
        <f>SUM(S72:Y72)</f>
        <v>584969.41199751489</v>
      </c>
      <c r="AA72" s="2">
        <f>Z72-Z71</f>
        <v>70701.496265075461</v>
      </c>
      <c r="AB72" s="83">
        <f>(AA72/Z71)</f>
        <v>0.13747988957152765</v>
      </c>
      <c r="AC72" s="7">
        <f>AB72+1</f>
        <v>1.1374798895715277</v>
      </c>
      <c r="AD72" s="2">
        <f>Z72-(I72-O72)</f>
        <v>0</v>
      </c>
      <c r="AF72">
        <f>A72</f>
        <v>2017</v>
      </c>
      <c r="AG72" s="6">
        <f>S72/$Z72</f>
        <v>0.28831869561204676</v>
      </c>
      <c r="AH72" s="7"/>
      <c r="AI72" s="6">
        <f t="shared" ref="AI72:AJ73" si="51">U72/$Z72</f>
        <v>0.35260571846440758</v>
      </c>
      <c r="AJ72" s="6">
        <f t="shared" si="51"/>
        <v>0.14587770765930819</v>
      </c>
      <c r="AK72" s="7"/>
      <c r="AL72" s="6">
        <f t="shared" ref="AL72:AM73" si="52">X72/$Z72</f>
        <v>0</v>
      </c>
      <c r="AM72" s="6">
        <f t="shared" si="52"/>
        <v>0.21319787826423744</v>
      </c>
      <c r="AN72" s="6">
        <f>SUM(AG72:AM72)</f>
        <v>0.99999999999999989</v>
      </c>
      <c r="AO72" s="7">
        <f>SUM(AG72:AL72)</f>
        <v>0.78680212173576247</v>
      </c>
      <c r="AP72" s="7">
        <f>AN72-(AO72+AM72)</f>
        <v>0</v>
      </c>
    </row>
    <row r="73" spans="1:42" x14ac:dyDescent="0.2">
      <c r="A73">
        <f t="shared" si="3"/>
        <v>2018</v>
      </c>
      <c r="B73" s="2">
        <f t="shared" si="33"/>
        <v>161068.02503726634</v>
      </c>
      <c r="C73" s="2"/>
      <c r="D73" s="2">
        <f t="shared" si="34"/>
        <v>187081.04873595681</v>
      </c>
      <c r="E73" s="2">
        <f t="shared" si="35"/>
        <v>77312.601166947861</v>
      </c>
      <c r="F73" s="2"/>
      <c r="G73" s="2">
        <f t="shared" si="32"/>
        <v>0</v>
      </c>
      <c r="H73" s="2">
        <f t="shared" si="12"/>
        <v>124589.52324986139</v>
      </c>
      <c r="I73" s="2">
        <f>SUM(B73:H73)</f>
        <v>550051.19819003239</v>
      </c>
      <c r="J73" s="2">
        <f>I73-I72</f>
        <v>-45410.749846675084</v>
      </c>
      <c r="K73" s="83">
        <f>(J73/I72)</f>
        <v>-7.6261379919234942E-2</v>
      </c>
      <c r="L73" s="7">
        <f>K73+1</f>
        <v>0.92373862008076502</v>
      </c>
      <c r="N73">
        <f>A73</f>
        <v>2018</v>
      </c>
      <c r="O73" s="2">
        <f t="shared" si="18"/>
        <v>10724.303056237877</v>
      </c>
      <c r="P73" s="2"/>
      <c r="R73">
        <f>A73</f>
        <v>2018</v>
      </c>
      <c r="S73" s="2">
        <f t="shared" si="44"/>
        <v>158386.94927320688</v>
      </c>
      <c r="T73" s="2"/>
      <c r="U73" s="2">
        <f t="shared" si="45"/>
        <v>184399.97297189734</v>
      </c>
      <c r="V73" s="2">
        <f t="shared" si="46"/>
        <v>74631.525402888394</v>
      </c>
      <c r="W73" s="2"/>
      <c r="X73" s="2">
        <f t="shared" si="43"/>
        <v>0</v>
      </c>
      <c r="Y73" s="2">
        <f t="shared" si="47"/>
        <v>121908.44748580192</v>
      </c>
      <c r="Z73" s="2">
        <f>SUM(S73:Y73)</f>
        <v>539326.89513379452</v>
      </c>
      <c r="AA73" s="2">
        <f>Z73-Z72</f>
        <v>-45642.516863720375</v>
      </c>
      <c r="AB73" s="83">
        <f>(AA73/Z72)</f>
        <v>-7.8025476080643821E-2</v>
      </c>
      <c r="AC73" s="7">
        <f>AB73+1</f>
        <v>0.92197452391935619</v>
      </c>
      <c r="AD73" s="2">
        <f>Z73-(I73-O73)</f>
        <v>0</v>
      </c>
      <c r="AF73">
        <f>A73</f>
        <v>2018</v>
      </c>
      <c r="AG73" s="6">
        <f>S73/$Z73</f>
        <v>0.29367522870135143</v>
      </c>
      <c r="AH73" s="7"/>
      <c r="AI73" s="6">
        <f t="shared" si="51"/>
        <v>0.34190761602228642</v>
      </c>
      <c r="AJ73" s="6">
        <f t="shared" si="51"/>
        <v>0.13837901665255176</v>
      </c>
      <c r="AK73" s="7"/>
      <c r="AL73" s="6">
        <f t="shared" si="52"/>
        <v>0</v>
      </c>
      <c r="AM73" s="6">
        <f t="shared" si="52"/>
        <v>0.22603813862381045</v>
      </c>
      <c r="AN73" s="6">
        <f>SUM(AG73:AM73)</f>
        <v>1</v>
      </c>
      <c r="AO73" s="7">
        <f>SUM(AG73:AL73)</f>
        <v>0.77396186137618961</v>
      </c>
      <c r="AP73" s="7">
        <f>AN73-(AO73+AM73)</f>
        <v>0</v>
      </c>
    </row>
    <row r="74" spans="1:42" x14ac:dyDescent="0.2">
      <c r="A74">
        <f t="shared" ref="A74:A75" si="53">A35</f>
        <v>2019</v>
      </c>
      <c r="B74" s="2">
        <f t="shared" ref="B74:B75" si="54">S73*(1+(B35/100))</f>
        <v>208209.14803658682</v>
      </c>
      <c r="C74" s="2"/>
      <c r="D74" s="2">
        <f t="shared" ref="D74:E74" si="55">U73*(1+(D35/100))</f>
        <v>241622.23498464463</v>
      </c>
      <c r="E74" s="2">
        <f t="shared" si="55"/>
        <v>95056.233485998469</v>
      </c>
      <c r="F74" s="2"/>
      <c r="G74" s="2">
        <f t="shared" ref="G74:H74" si="56">X73*(1+(G35/100))</f>
        <v>0</v>
      </c>
      <c r="H74" s="2">
        <f t="shared" si="56"/>
        <v>132531.54959971469</v>
      </c>
      <c r="I74" s="2">
        <f t="shared" ref="I74:I75" si="57">SUM(B74:H74)</f>
        <v>677419.16610694455</v>
      </c>
      <c r="J74" s="2">
        <f t="shared" ref="J74:J75" si="58">I74-I73</f>
        <v>127367.96791691217</v>
      </c>
      <c r="K74" s="83">
        <f t="shared" ref="K74:K75" si="59">(J74/I73)</f>
        <v>0.23155656843585115</v>
      </c>
      <c r="L74" s="7">
        <f t="shared" ref="L74:L75" si="60">K74+1</f>
        <v>1.2315565684358512</v>
      </c>
      <c r="N74">
        <f t="shared" ref="N74:N75" si="61">A74</f>
        <v>2019</v>
      </c>
      <c r="O74" s="2">
        <f t="shared" ref="O74" si="62">O73*(1+O35)</f>
        <v>10969.492544566767</v>
      </c>
      <c r="P74" s="2"/>
      <c r="R74">
        <f t="shared" ref="R74:R75" si="63">A74</f>
        <v>2019</v>
      </c>
      <c r="S74" s="2">
        <f t="shared" si="44"/>
        <v>205466.77490044513</v>
      </c>
      <c r="T74" s="2"/>
      <c r="U74" s="2">
        <f t="shared" si="45"/>
        <v>238879.86184850294</v>
      </c>
      <c r="V74" s="2">
        <f t="shared" si="46"/>
        <v>92313.860349856783</v>
      </c>
      <c r="W74" s="2"/>
      <c r="X74" s="2">
        <f t="shared" si="43"/>
        <v>0</v>
      </c>
      <c r="Y74" s="2">
        <f t="shared" si="47"/>
        <v>129789.17646357301</v>
      </c>
      <c r="Z74" s="2">
        <f t="shared" ref="Z74:Z75" si="64">SUM(S74:Y74)</f>
        <v>666449.67356237792</v>
      </c>
      <c r="AA74" s="2">
        <f t="shared" ref="AA74:AA75" si="65">Z74-Z73</f>
        <v>127122.77842858341</v>
      </c>
      <c r="AB74" s="83">
        <f t="shared" ref="AB74:AB75" si="66">(AA74/Z73)</f>
        <v>0.23570635838037929</v>
      </c>
      <c r="AC74" s="7">
        <f t="shared" ref="AC74:AC75" si="67">AB74+1</f>
        <v>1.2357063583803793</v>
      </c>
      <c r="AD74" s="2">
        <f t="shared" ref="AD74:AD75" si="68">Z74-(I74-O74)</f>
        <v>0</v>
      </c>
      <c r="AF74">
        <f t="shared" ref="AF74:AF75" si="69">A74</f>
        <v>2019</v>
      </c>
      <c r="AG74" s="6">
        <f t="shared" ref="AG74:AG75" si="70">S74/$Z74</f>
        <v>0.3083005109780641</v>
      </c>
      <c r="AH74" s="7"/>
      <c r="AI74" s="6">
        <f t="shared" ref="AI74:AI75" si="71">U74/$Z74</f>
        <v>0.35843646013301622</v>
      </c>
      <c r="AJ74" s="6">
        <f t="shared" ref="AJ74:AJ75" si="72">V74/$Z74</f>
        <v>0.1385158760096781</v>
      </c>
      <c r="AK74" s="7"/>
      <c r="AL74" s="6">
        <f t="shared" ref="AL74:AL75" si="73">X74/$Z74</f>
        <v>0</v>
      </c>
      <c r="AM74" s="6">
        <f t="shared" ref="AM74:AM75" si="74">Y74/$Z74</f>
        <v>0.19474715287924149</v>
      </c>
      <c r="AN74" s="6">
        <f t="shared" ref="AN74:AN75" si="75">SUM(AG74:AM74)</f>
        <v>0.99999999999999989</v>
      </c>
      <c r="AO74" s="7">
        <f t="shared" ref="AO74:AO75" si="76">SUM(AG74:AL74)</f>
        <v>0.8052528471207584</v>
      </c>
      <c r="AP74" s="7">
        <f t="shared" ref="AP74:AP75" si="77">AN74-(AO74+AM74)</f>
        <v>0</v>
      </c>
    </row>
    <row r="75" spans="1:42" x14ac:dyDescent="0.2">
      <c r="A75">
        <f t="shared" si="53"/>
        <v>2020</v>
      </c>
      <c r="B75" s="2">
        <f t="shared" si="54"/>
        <v>243211.0214496569</v>
      </c>
      <c r="C75" s="2"/>
      <c r="D75" s="2">
        <f t="shared" ref="D75:E75" si="78">U74*(1+(D36/100))</f>
        <v>282451.54864966986</v>
      </c>
      <c r="E75" s="2">
        <f t="shared" si="78"/>
        <v>109955.03906271442</v>
      </c>
      <c r="F75" s="2"/>
      <c r="G75" s="2">
        <f t="shared" ref="G75:H75" si="79">X74*(1+(G36/100))</f>
        <v>0</v>
      </c>
      <c r="H75" s="2">
        <f t="shared" si="79"/>
        <v>139808.90088656085</v>
      </c>
      <c r="I75" s="2">
        <f t="shared" si="57"/>
        <v>775426.51004860201</v>
      </c>
      <c r="J75" s="2">
        <f t="shared" si="58"/>
        <v>98007.343941657455</v>
      </c>
      <c r="K75" s="83">
        <f t="shared" si="59"/>
        <v>0.14467754803114766</v>
      </c>
      <c r="L75" s="7">
        <f t="shared" si="60"/>
        <v>1.1446775480311477</v>
      </c>
      <c r="N75">
        <f t="shared" si="61"/>
        <v>2020</v>
      </c>
      <c r="O75" s="2">
        <f>O74*(1+O36)</f>
        <v>11094.414029963191</v>
      </c>
      <c r="P75" s="2"/>
      <c r="R75">
        <f t="shared" si="63"/>
        <v>2020</v>
      </c>
      <c r="S75" s="2">
        <f t="shared" si="44"/>
        <v>240437.4179421661</v>
      </c>
      <c r="T75" s="63"/>
      <c r="U75" s="2">
        <f t="shared" si="45"/>
        <v>279677.94514217909</v>
      </c>
      <c r="V75" s="2">
        <f t="shared" si="46"/>
        <v>107181.43555522362</v>
      </c>
      <c r="W75" s="63"/>
      <c r="X75" s="2">
        <f t="shared" si="43"/>
        <v>0</v>
      </c>
      <c r="Y75" s="2">
        <f t="shared" si="47"/>
        <v>137035.29737907005</v>
      </c>
      <c r="Z75" s="2">
        <f t="shared" si="64"/>
        <v>764332.09601863893</v>
      </c>
      <c r="AA75" s="2">
        <f t="shared" si="65"/>
        <v>97882.422456261003</v>
      </c>
      <c r="AB75" s="83">
        <f t="shared" si="66"/>
        <v>0.14687143881855239</v>
      </c>
      <c r="AC75" s="7">
        <f t="shared" si="67"/>
        <v>1.1468714388185524</v>
      </c>
      <c r="AD75" s="2">
        <f t="shared" si="68"/>
        <v>0</v>
      </c>
      <c r="AF75">
        <f t="shared" si="69"/>
        <v>2020</v>
      </c>
      <c r="AG75" s="6">
        <f t="shared" si="70"/>
        <v>0.31457192389877453</v>
      </c>
      <c r="AH75" s="7"/>
      <c r="AI75" s="6">
        <f t="shared" si="71"/>
        <v>0.36591155415166404</v>
      </c>
      <c r="AJ75" s="6">
        <f t="shared" si="72"/>
        <v>0.14022888233207192</v>
      </c>
      <c r="AK75" s="7"/>
      <c r="AL75" s="6">
        <f t="shared" si="73"/>
        <v>0</v>
      </c>
      <c r="AM75" s="6">
        <f t="shared" si="74"/>
        <v>0.17928763961748942</v>
      </c>
      <c r="AN75" s="6">
        <f t="shared" si="75"/>
        <v>0.99999999999999978</v>
      </c>
      <c r="AO75" s="7">
        <f t="shared" si="76"/>
        <v>0.82071236038251039</v>
      </c>
      <c r="AP75" s="7">
        <f t="shared" si="77"/>
        <v>0</v>
      </c>
    </row>
    <row r="76" spans="1:42" x14ac:dyDescent="0.2">
      <c r="A76" s="9" t="s">
        <v>94</v>
      </c>
      <c r="B76" s="10">
        <f>S76</f>
        <v>240437.4179421661</v>
      </c>
      <c r="C76" s="10"/>
      <c r="D76" s="10">
        <f>U76</f>
        <v>279677.94514217909</v>
      </c>
      <c r="E76" s="10">
        <f>V76</f>
        <v>107181.43555522362</v>
      </c>
      <c r="F76" s="10"/>
      <c r="G76" s="10">
        <f>X76</f>
        <v>0</v>
      </c>
      <c r="H76" s="10">
        <f>Y76</f>
        <v>137035.29737907005</v>
      </c>
      <c r="I76" s="10">
        <f>SUM(B76:H76)</f>
        <v>764332.09601863893</v>
      </c>
      <c r="J76" s="10"/>
      <c r="K76" s="10"/>
      <c r="N76" t="s">
        <v>156</v>
      </c>
      <c r="O76" s="2">
        <f>O75</f>
        <v>11094.414029963191</v>
      </c>
      <c r="P76" s="2"/>
      <c r="R76" s="9" t="s">
        <v>94</v>
      </c>
      <c r="S76" s="10">
        <f>S75</f>
        <v>240437.4179421661</v>
      </c>
      <c r="T76" s="10"/>
      <c r="U76" s="10">
        <f>U75</f>
        <v>279677.94514217909</v>
      </c>
      <c r="V76" s="10">
        <f>V75</f>
        <v>107181.43555522362</v>
      </c>
      <c r="W76" s="10"/>
      <c r="X76" s="10">
        <f>X75</f>
        <v>0</v>
      </c>
      <c r="Y76" s="10">
        <f>Y75</f>
        <v>137035.29737907005</v>
      </c>
      <c r="Z76" s="10">
        <f>SUM(S76:Y76)</f>
        <v>764332.09601863893</v>
      </c>
      <c r="AA76" s="43"/>
      <c r="AB76" s="43"/>
      <c r="AC76" s="43"/>
      <c r="AD76" s="43"/>
      <c r="AF76" s="74" t="s">
        <v>132</v>
      </c>
      <c r="AG76" s="88">
        <f>AG75</f>
        <v>0.31457192389877453</v>
      </c>
      <c r="AH76" s="74"/>
      <c r="AI76" s="88">
        <f>AI75</f>
        <v>0.36591155415166404</v>
      </c>
      <c r="AJ76" s="88">
        <f>AJ75</f>
        <v>0.14022888233207192</v>
      </c>
      <c r="AK76" s="74"/>
      <c r="AL76" s="88">
        <f>AL75</f>
        <v>0</v>
      </c>
      <c r="AM76" s="88">
        <f>AM75</f>
        <v>0.17928763961748942</v>
      </c>
      <c r="AN76" s="88">
        <f>AN75</f>
        <v>0.99999999999999978</v>
      </c>
      <c r="AO76" s="88">
        <f>AO75</f>
        <v>0.82071236038251039</v>
      </c>
      <c r="AP76" s="88">
        <f>AP75</f>
        <v>0</v>
      </c>
    </row>
    <row r="77" spans="1:42" x14ac:dyDescent="0.2">
      <c r="A77" s="11" t="s">
        <v>157</v>
      </c>
      <c r="I77" s="6">
        <f>(Z76-Z42)/Z42</f>
        <v>6.6433209601863892</v>
      </c>
      <c r="K77" s="6"/>
      <c r="N77" t="s">
        <v>67</v>
      </c>
      <c r="O77" s="2">
        <f>SUM(O43:O75)</f>
        <v>270336.47731494257</v>
      </c>
      <c r="P77" s="2"/>
      <c r="AI77" s="7"/>
    </row>
    <row r="78" spans="1:42" x14ac:dyDescent="0.2">
      <c r="A78" s="1" t="s">
        <v>158</v>
      </c>
      <c r="I78" s="12">
        <f>STDEV(AC43:AC75)</f>
        <v>0.11378775352002944</v>
      </c>
      <c r="O78" s="2"/>
      <c r="AJ78" s="89"/>
      <c r="AK78" s="89"/>
      <c r="AL78" s="90" t="s">
        <v>134</v>
      </c>
      <c r="AM78" s="89" t="b">
        <f>IF((AM75=AM76),TRUE,FALSE)</f>
        <v>1</v>
      </c>
      <c r="AN78" s="89"/>
      <c r="AO78" s="91" t="b">
        <f>IF(((SUM(AG75:AL75))=AO76),TRUE,FALSE)</f>
        <v>1</v>
      </c>
    </row>
    <row r="79" spans="1:42" x14ac:dyDescent="0.2">
      <c r="A79" s="1" t="s">
        <v>159</v>
      </c>
      <c r="I79" s="13">
        <f>((1+I77)^(1/I86))-1</f>
        <v>6.3570111217302161E-2</v>
      </c>
    </row>
    <row r="80" spans="1:42" x14ac:dyDescent="0.2">
      <c r="A80" s="1" t="s">
        <v>98</v>
      </c>
      <c r="I80" s="31">
        <f>J63</f>
        <v>-104334.06994697731</v>
      </c>
      <c r="O80" s="2"/>
      <c r="P80" s="2"/>
    </row>
    <row r="81" spans="1:9" x14ac:dyDescent="0.2">
      <c r="A81" s="1" t="s">
        <v>136</v>
      </c>
      <c r="I81" s="32">
        <f>K63</f>
        <v>-0.28003161052382686</v>
      </c>
    </row>
    <row r="82" spans="1:9" x14ac:dyDescent="0.2">
      <c r="A82" s="1" t="s">
        <v>103</v>
      </c>
      <c r="I82" s="2">
        <f>O77</f>
        <v>270336.47731494257</v>
      </c>
    </row>
    <row r="83" spans="1:9" x14ac:dyDescent="0.2">
      <c r="A83" s="3" t="s">
        <v>137</v>
      </c>
      <c r="I83" s="33">
        <f>I76-Z76</f>
        <v>0</v>
      </c>
    </row>
    <row r="84" spans="1:9" x14ac:dyDescent="0.2">
      <c r="A84" s="3" t="s">
        <v>138</v>
      </c>
      <c r="I84" s="33">
        <f>((SUM(AA43:AA75)))-(I76-I42)</f>
        <v>0</v>
      </c>
    </row>
    <row r="85" spans="1:9" x14ac:dyDescent="0.2">
      <c r="A85" s="3" t="s">
        <v>160</v>
      </c>
      <c r="I85" s="33">
        <f>(SUM(O43:O75))-I82</f>
        <v>0</v>
      </c>
    </row>
    <row r="86" spans="1:9" x14ac:dyDescent="0.2">
      <c r="A86" s="3" t="s">
        <v>139</v>
      </c>
      <c r="I86" s="3">
        <f>COUNTA(I43:I75)</f>
        <v>33</v>
      </c>
    </row>
    <row r="87" spans="1:9" x14ac:dyDescent="0.2">
      <c r="A87" s="95" t="s">
        <v>100</v>
      </c>
      <c r="B87" s="63"/>
      <c r="C87" s="63"/>
      <c r="D87" s="63"/>
      <c r="E87" s="63"/>
      <c r="G87" s="63"/>
      <c r="H87" s="63"/>
      <c r="I87" s="94">
        <f>AO76</f>
        <v>0.82071236038251039</v>
      </c>
    </row>
    <row r="88" spans="1:9" x14ac:dyDescent="0.2">
      <c r="A88" s="95" t="s">
        <v>179</v>
      </c>
      <c r="B88" s="2"/>
      <c r="D88" s="2"/>
      <c r="E88" s="2"/>
      <c r="G88" s="2"/>
      <c r="H88" s="2"/>
      <c r="I88" s="94">
        <f>AM76</f>
        <v>0.17928763961748942</v>
      </c>
    </row>
    <row r="89" spans="1:9" x14ac:dyDescent="0.2">
      <c r="B89" s="63"/>
      <c r="C89" s="63"/>
      <c r="D89" s="63"/>
      <c r="E89" s="63"/>
      <c r="G89" s="63"/>
      <c r="H89" s="63"/>
      <c r="I89" s="63"/>
    </row>
    <row r="90" spans="1:9" x14ac:dyDescent="0.2">
      <c r="B90" s="2"/>
      <c r="D90" s="2"/>
      <c r="E90" s="2"/>
      <c r="G90" s="2"/>
      <c r="H90" s="2"/>
      <c r="I90"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88"/>
  <sheetViews>
    <sheetView topLeftCell="A39" zoomScaleNormal="100" workbookViewId="0">
      <selection activeCell="E54" sqref="E54"/>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72"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72" x14ac:dyDescent="0.2">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5" spans="1:72" x14ac:dyDescent="0.2">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'4.5% Withdrawals-No Rebalancing'!N35</f>
        <v>2019</v>
      </c>
      <c r="O35" s="50">
        <f>'4.5% Withdrawals-No Rebalancing'!O35</f>
        <v>2.2862976460393248E-2</v>
      </c>
    </row>
    <row r="36" spans="1:72" x14ac:dyDescent="0.2">
      <c r="A36" s="17">
        <f>'Non-Rebalanced Portfolio'!A36</f>
        <v>2020</v>
      </c>
      <c r="B36" s="17">
        <f>'Non-Rebalanced Portfolio'!B36</f>
        <v>18.37</v>
      </c>
      <c r="C36" s="17"/>
      <c r="D36" s="17">
        <f>'Non-Rebalanced Portfolio'!D36</f>
        <v>18.239999999999998</v>
      </c>
      <c r="E36" s="17">
        <f>'Non-Rebalanced Portfolio'!E36</f>
        <v>19.11</v>
      </c>
      <c r="F36" s="17"/>
      <c r="G36" s="17">
        <f>'Non-Rebalanced Portfolio'!G36</f>
        <v>11.28</v>
      </c>
      <c r="H36" s="17">
        <f>'Non-Rebalanced Portfolio'!H36</f>
        <v>7.72</v>
      </c>
      <c r="N36" s="49">
        <f>'4.5% Withdrawals-No Rebalancing'!N36</f>
        <v>2020</v>
      </c>
      <c r="O36" s="50">
        <f>'4.5% Withdrawals-No Rebalancing'!O36</f>
        <v>1.1388082437623485E-2</v>
      </c>
    </row>
    <row r="39" spans="1:72" x14ac:dyDescent="0.2">
      <c r="A39" s="20" t="s">
        <v>140</v>
      </c>
      <c r="N39" s="20" t="s">
        <v>153</v>
      </c>
      <c r="R39" s="20" t="s">
        <v>161</v>
      </c>
      <c r="AG39" s="20" t="s">
        <v>162</v>
      </c>
      <c r="AS39" s="20" t="s">
        <v>163</v>
      </c>
      <c r="BC39" s="20" t="s">
        <v>164</v>
      </c>
    </row>
    <row r="40" spans="1:72"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E40" s="5"/>
      <c r="AH40" s="4" t="str">
        <f t="shared" ref="AH40:AN41" si="2">B40</f>
        <v>LC Stocks</v>
      </c>
      <c r="AI40" s="4" t="str">
        <f t="shared" si="2"/>
        <v>Ext Mkt</v>
      </c>
      <c r="AJ40" s="4" t="str">
        <f t="shared" si="2"/>
        <v>Mcap Stk</v>
      </c>
      <c r="AK40" s="4" t="str">
        <f t="shared" si="2"/>
        <v>Small Cap</v>
      </c>
      <c r="AL40" s="4" t="str">
        <f t="shared" si="2"/>
        <v>Intl Val</v>
      </c>
      <c r="AM40" s="4" t="str">
        <f t="shared" si="2"/>
        <v>Tot Int Stk</v>
      </c>
      <c r="AN40" s="4" t="str">
        <f t="shared" si="2"/>
        <v>Bonds</v>
      </c>
      <c r="AO40" s="5"/>
      <c r="AP40" s="5" t="s">
        <v>124</v>
      </c>
      <c r="AQ40" s="5" t="s">
        <v>125</v>
      </c>
      <c r="AT40" s="4" t="str">
        <f t="shared" ref="AT40:AZ42" si="3">AH40</f>
        <v>LC Stocks</v>
      </c>
      <c r="AU40" s="4" t="str">
        <f t="shared" si="3"/>
        <v>Ext Mkt</v>
      </c>
      <c r="AV40" s="4" t="str">
        <f t="shared" si="3"/>
        <v>Mcap Stk</v>
      </c>
      <c r="AW40" s="4" t="str">
        <f t="shared" si="3"/>
        <v>Small Cap</v>
      </c>
      <c r="AX40" s="4" t="str">
        <f t="shared" si="3"/>
        <v>Intl Val</v>
      </c>
      <c r="AY40" s="4" t="str">
        <f t="shared" si="3"/>
        <v>Tot Int Stk</v>
      </c>
      <c r="AZ40" s="4" t="str">
        <f t="shared" si="3"/>
        <v>Bonds</v>
      </c>
      <c r="BA40" s="5"/>
      <c r="BD40" s="4" t="str">
        <f>AT40</f>
        <v>LC Stocks</v>
      </c>
      <c r="BE40" s="4" t="str">
        <f t="shared" ref="BE40:BK42" si="4">AU40</f>
        <v>Ext Mkt</v>
      </c>
      <c r="BF40" s="4" t="str">
        <f t="shared" si="4"/>
        <v>Mcap Stk</v>
      </c>
      <c r="BG40" s="4" t="str">
        <f t="shared" si="4"/>
        <v>Small Cap</v>
      </c>
      <c r="BH40" s="4" t="str">
        <f t="shared" si="4"/>
        <v>Intl Val</v>
      </c>
      <c r="BI40" s="4" t="str">
        <f t="shared" si="4"/>
        <v>Tot Int Stk</v>
      </c>
      <c r="BJ40" s="4" t="str">
        <f t="shared" si="4"/>
        <v>Bonds</v>
      </c>
      <c r="BK40" s="4"/>
      <c r="BL40" t="s">
        <v>144</v>
      </c>
    </row>
    <row r="41" spans="1:72"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E41" s="5"/>
      <c r="AG41" t="s">
        <v>126</v>
      </c>
      <c r="AH41" s="4" t="str">
        <f t="shared" si="2"/>
        <v>VFIAX</v>
      </c>
      <c r="AI41" s="4" t="str">
        <f t="shared" si="2"/>
        <v>VEXMX</v>
      </c>
      <c r="AJ41" s="4" t="str">
        <f t="shared" si="2"/>
        <v>VIMAX</v>
      </c>
      <c r="AK41" s="4" t="str">
        <f t="shared" si="2"/>
        <v>VSMAX</v>
      </c>
      <c r="AL41" s="4" t="str">
        <f t="shared" si="2"/>
        <v>VTRIX</v>
      </c>
      <c r="AM41" s="4" t="str">
        <f t="shared" si="2"/>
        <v>VTIAX</v>
      </c>
      <c r="AN41" s="4" t="str">
        <f t="shared" si="2"/>
        <v>VBTLX</v>
      </c>
      <c r="AO41" s="5" t="s">
        <v>67</v>
      </c>
      <c r="AP41" s="5" t="s">
        <v>125</v>
      </c>
      <c r="AQ41" s="5" t="s">
        <v>129</v>
      </c>
      <c r="AS41" t="str">
        <f>AG41</f>
        <v>Fund</v>
      </c>
      <c r="AT41" s="4" t="str">
        <f t="shared" si="3"/>
        <v>VFIAX</v>
      </c>
      <c r="AU41" s="4" t="str">
        <f t="shared" si="3"/>
        <v>VEXMX</v>
      </c>
      <c r="AV41" s="4" t="str">
        <f t="shared" si="3"/>
        <v>VIMAX</v>
      </c>
      <c r="AW41" s="4" t="str">
        <f t="shared" si="3"/>
        <v>VSMAX</v>
      </c>
      <c r="AX41" s="4" t="str">
        <f t="shared" si="3"/>
        <v>VTRIX</v>
      </c>
      <c r="AY41" s="4" t="str">
        <f t="shared" si="3"/>
        <v>VTIAX</v>
      </c>
      <c r="AZ41" s="4" t="str">
        <f t="shared" si="3"/>
        <v>VBTLX</v>
      </c>
      <c r="BA41" s="4" t="str">
        <f>AO41</f>
        <v>Total</v>
      </c>
      <c r="BC41" t="s">
        <v>126</v>
      </c>
      <c r="BD41" s="4" t="str">
        <f>AT41</f>
        <v>VFIAX</v>
      </c>
      <c r="BE41" s="4" t="str">
        <f t="shared" si="4"/>
        <v>VEXMX</v>
      </c>
      <c r="BF41" s="4" t="str">
        <f t="shared" si="4"/>
        <v>VIMAX</v>
      </c>
      <c r="BG41" s="4" t="str">
        <f t="shared" si="4"/>
        <v>VSMAX</v>
      </c>
      <c r="BH41" s="4" t="str">
        <f t="shared" si="4"/>
        <v>VTRIX</v>
      </c>
      <c r="BI41" s="4" t="str">
        <f t="shared" si="4"/>
        <v>VTIAX</v>
      </c>
      <c r="BJ41" s="4" t="str">
        <f t="shared" si="4"/>
        <v>VBTLX</v>
      </c>
      <c r="BK41" s="4" t="str">
        <f t="shared" si="4"/>
        <v>Total</v>
      </c>
      <c r="BL41" t="s">
        <v>129</v>
      </c>
    </row>
    <row r="42" spans="1:72"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1"/>
        <v>25000</v>
      </c>
      <c r="U42" s="2">
        <f t="shared" si="1"/>
        <v>0</v>
      </c>
      <c r="V42" s="2">
        <f t="shared" si="1"/>
        <v>0</v>
      </c>
      <c r="W42" s="2">
        <f t="shared" si="1"/>
        <v>15000</v>
      </c>
      <c r="X42" s="2">
        <f t="shared" si="1"/>
        <v>0</v>
      </c>
      <c r="Y42" s="2">
        <f t="shared" si="1"/>
        <v>40000</v>
      </c>
      <c r="Z42" s="2">
        <f t="shared" si="1"/>
        <v>100000</v>
      </c>
      <c r="AD42" s="2"/>
      <c r="AE42" s="2"/>
      <c r="AG42" s="21" t="s">
        <v>131</v>
      </c>
      <c r="AH42" s="6">
        <f t="shared" ref="AH42:AI57" si="5">S42/$Z42</f>
        <v>0.2</v>
      </c>
      <c r="AI42" s="6">
        <f t="shared" si="5"/>
        <v>0.25</v>
      </c>
      <c r="AJ42" s="23">
        <v>0.15</v>
      </c>
      <c r="AK42" s="23">
        <v>0.1</v>
      </c>
      <c r="AL42" s="6">
        <f>W42/$Z42</f>
        <v>0.15</v>
      </c>
      <c r="AM42" s="23">
        <v>0.15</v>
      </c>
      <c r="AN42" s="6">
        <f>Y42/$Z42</f>
        <v>0.4</v>
      </c>
      <c r="AO42" s="6">
        <f>Z42/$Z42</f>
        <v>1</v>
      </c>
      <c r="AP42" s="24"/>
      <c r="AR42" s="24"/>
      <c r="AS42" s="21" t="str">
        <f>AG42</f>
        <v>Target Allocation</v>
      </c>
      <c r="AT42" s="24">
        <f t="shared" si="3"/>
        <v>0.2</v>
      </c>
      <c r="AU42" s="24">
        <f t="shared" si="3"/>
        <v>0.25</v>
      </c>
      <c r="AV42" s="25">
        <f t="shared" si="3"/>
        <v>0.15</v>
      </c>
      <c r="AW42" s="25">
        <f t="shared" si="3"/>
        <v>0.1</v>
      </c>
      <c r="AX42" s="24">
        <f t="shared" si="3"/>
        <v>0.15</v>
      </c>
      <c r="AY42" s="25">
        <f t="shared" si="3"/>
        <v>0.15</v>
      </c>
      <c r="AZ42" s="24">
        <f t="shared" si="3"/>
        <v>0.4</v>
      </c>
      <c r="BA42" s="24">
        <f>AO42</f>
        <v>1</v>
      </c>
      <c r="BC42" s="21" t="str">
        <f>AS42</f>
        <v>Target Allocation</v>
      </c>
      <c r="BD42" s="24">
        <f>AT42</f>
        <v>0.2</v>
      </c>
      <c r="BE42" s="24">
        <f t="shared" si="4"/>
        <v>0.25</v>
      </c>
      <c r="BF42" s="25">
        <f t="shared" si="4"/>
        <v>0.15</v>
      </c>
      <c r="BG42" s="25">
        <f t="shared" si="4"/>
        <v>0.1</v>
      </c>
      <c r="BH42" s="24">
        <f t="shared" si="4"/>
        <v>0.15</v>
      </c>
      <c r="BI42" s="25">
        <f t="shared" si="4"/>
        <v>0.15</v>
      </c>
      <c r="BJ42" s="24">
        <f t="shared" si="4"/>
        <v>0.4</v>
      </c>
      <c r="BK42" s="24">
        <f t="shared" si="4"/>
        <v>1</v>
      </c>
      <c r="BL42" s="2"/>
    </row>
    <row r="43" spans="1:72" x14ac:dyDescent="0.2">
      <c r="A43">
        <f t="shared" ref="A43:A73" si="6">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83">
        <f>(J43/I42)</f>
        <v>0.13937449999999982</v>
      </c>
      <c r="L43" s="7">
        <f>K43+1</f>
        <v>1.1393744999999997</v>
      </c>
      <c r="N43">
        <f>A43</f>
        <v>1988</v>
      </c>
      <c r="O43" s="2">
        <f>I43*0.045</f>
        <v>5127.1852499999986</v>
      </c>
      <c r="P43" s="2"/>
      <c r="Q43" s="2"/>
      <c r="R43">
        <f>A43</f>
        <v>1988</v>
      </c>
      <c r="S43" s="2">
        <f>B43-($O43/4)</f>
        <v>21962.203687499998</v>
      </c>
      <c r="T43" s="2">
        <f>C43-($O43/4)</f>
        <v>28654.953687500001</v>
      </c>
      <c r="U43" s="2"/>
      <c r="V43" s="2"/>
      <c r="W43" s="2">
        <f t="shared" ref="W43:W51" si="7">F43-($O43/4)</f>
        <v>16534.903687500002</v>
      </c>
      <c r="X43" s="2"/>
      <c r="Y43" s="2">
        <f>H43-($O43/4)</f>
        <v>41658.20368749999</v>
      </c>
      <c r="Z43" s="2">
        <f>SUM(S43:Y43)</f>
        <v>108810.26474999999</v>
      </c>
      <c r="AA43" s="2">
        <f>Z43-Z42</f>
        <v>8810.2647499999875</v>
      </c>
      <c r="AB43" s="83">
        <f>(AA43/Z42)</f>
        <v>8.8102647499999881E-2</v>
      </c>
      <c r="AC43" s="7">
        <f>AB43+1</f>
        <v>1.0881026475</v>
      </c>
      <c r="AD43" s="2">
        <f>Z43-(I43-O43)</f>
        <v>0</v>
      </c>
      <c r="AE43" s="2"/>
      <c r="AG43">
        <f>A43</f>
        <v>1988</v>
      </c>
      <c r="AH43" s="6">
        <f t="shared" si="5"/>
        <v>0.20183944720619751</v>
      </c>
      <c r="AI43" s="6">
        <f t="shared" si="5"/>
        <v>0.263347890507729</v>
      </c>
      <c r="AJ43" s="7"/>
      <c r="AK43" s="7"/>
      <c r="AL43" s="6">
        <f>W43/$Z43</f>
        <v>0.15196088094712593</v>
      </c>
      <c r="AM43" s="7"/>
      <c r="AN43" s="6">
        <f>Y43/$Z43</f>
        <v>0.38285178133894759</v>
      </c>
      <c r="AO43" s="6">
        <f>SUM(AH43:AN43)</f>
        <v>1</v>
      </c>
      <c r="AP43" s="7">
        <f>SUM(AH43:AM43)</f>
        <v>0.61714821866105241</v>
      </c>
      <c r="AQ43" s="7">
        <f>AO43-(AP43+AN43)</f>
        <v>0</v>
      </c>
      <c r="AR43" s="24"/>
      <c r="AS43">
        <f>AG43</f>
        <v>1988</v>
      </c>
      <c r="AT43" s="1" t="b">
        <f>AND((S43/$Z43)&gt;0.15,(S43/$Z43)&lt;0.25)</f>
        <v>1</v>
      </c>
      <c r="AU43" s="1" t="b">
        <f>AND((T43/$Z43)&gt;0.2,(T43/$Z43)&lt;0.3)</f>
        <v>1</v>
      </c>
      <c r="AX43" s="1" t="b">
        <f>AND((W43/$Z43)&gt;0.1,(W43/$Z43)&lt;0.2)</f>
        <v>1</v>
      </c>
      <c r="AZ43" s="1" t="b">
        <f>AND((Y43/$Z43)&gt;0.35,(Y43/$Z43)&lt;0.45)</f>
        <v>1</v>
      </c>
      <c r="BA43" s="1" t="b">
        <f>AND((Z43/$Z43)&gt;0.999,(Z43/$Z43)&lt;1.01)</f>
        <v>1</v>
      </c>
      <c r="BC43">
        <f>AS43</f>
        <v>1988</v>
      </c>
      <c r="BD43" s="2">
        <f>S43</f>
        <v>21962.203687499998</v>
      </c>
      <c r="BE43" s="2">
        <f>T43</f>
        <v>28654.953687500001</v>
      </c>
      <c r="BF43" s="2"/>
      <c r="BG43" s="2"/>
      <c r="BH43" s="2">
        <f t="shared" ref="BH43:BH50" si="8">W43</f>
        <v>16534.903687500002</v>
      </c>
      <c r="BI43" s="2"/>
      <c r="BJ43" s="2">
        <f>Y43</f>
        <v>41658.20368749999</v>
      </c>
      <c r="BK43" s="2">
        <f>Z43</f>
        <v>108810.26474999999</v>
      </c>
      <c r="BL43" s="2">
        <f>SUM(BD43:BJ43)-Z43</f>
        <v>0</v>
      </c>
      <c r="BM43" s="2"/>
    </row>
    <row r="44" spans="1:72" x14ac:dyDescent="0.2">
      <c r="A44">
        <f t="shared" si="6"/>
        <v>1989</v>
      </c>
      <c r="B44" s="2">
        <f t="shared" ref="B44:B53" si="9">BD43*(1+(B5/100))</f>
        <v>28849.550763899999</v>
      </c>
      <c r="C44" s="2">
        <f t="shared" ref="C44:C53" si="10">BE43*(1+(C5/100))</f>
        <v>35559.651328040003</v>
      </c>
      <c r="D44" s="2"/>
      <c r="E44" s="2"/>
      <c r="F44" s="2">
        <f t="shared" ref="F44:F51" si="11">BH43*(1+(F5/100))</f>
        <v>20829.183524180629</v>
      </c>
      <c r="G44" s="2"/>
      <c r="H44" s="2">
        <f t="shared" ref="H44:H73" si="12">BJ43*(1+(H5/100))</f>
        <v>47340.382670474995</v>
      </c>
      <c r="I44" s="2">
        <f>SUM(B44:H44)</f>
        <v>132578.76828659564</v>
      </c>
      <c r="J44" s="2">
        <f t="shared" ref="J44:J72" si="13">I44-I43</f>
        <v>18641.318286595662</v>
      </c>
      <c r="K44" s="83">
        <f t="shared" ref="K44:K72" si="14">(J44/I43)</f>
        <v>0.16361010612924604</v>
      </c>
      <c r="L44" s="7">
        <f t="shared" ref="L44:L72" si="15">K44+1</f>
        <v>1.1636101061292461</v>
      </c>
      <c r="N44">
        <f t="shared" ref="N44:N72" si="16">A44</f>
        <v>1989</v>
      </c>
      <c r="O44" s="2">
        <f t="shared" ref="O44:O73" si="17">O43*(1+O5)</f>
        <v>5363.0357714999991</v>
      </c>
      <c r="P44" s="2"/>
      <c r="Q44" s="2"/>
      <c r="R44">
        <f t="shared" ref="R44:R72" si="18">A44</f>
        <v>1989</v>
      </c>
      <c r="S44" s="2">
        <f t="shared" ref="S44:T52" si="19">B44-($O44/4)</f>
        <v>27508.791821024999</v>
      </c>
      <c r="T44" s="2">
        <f t="shared" si="19"/>
        <v>34218.892385165003</v>
      </c>
      <c r="U44" s="2"/>
      <c r="V44" s="2"/>
      <c r="W44" s="2">
        <f t="shared" si="7"/>
        <v>19488.42458130563</v>
      </c>
      <c r="X44" s="2"/>
      <c r="Y44" s="2">
        <f t="shared" ref="Y44:Y52" si="20">H44-($O44/4)</f>
        <v>45999.623727599996</v>
      </c>
      <c r="Z44" s="2">
        <f t="shared" ref="Z44:Z72" si="21">SUM(S44:Y44)</f>
        <v>127215.73251509562</v>
      </c>
      <c r="AA44" s="2">
        <f t="shared" ref="AA44:AA58" si="22">Z44-Z43</f>
        <v>18405.467765095629</v>
      </c>
      <c r="AB44" s="83">
        <f t="shared" ref="AB44:AB58" si="23">(AA44/Z43)</f>
        <v>0.16915194359083324</v>
      </c>
      <c r="AC44" s="7">
        <f t="shared" ref="AC44:AC72" si="24">AB44+1</f>
        <v>1.1691519435908333</v>
      </c>
      <c r="AD44" s="2">
        <f t="shared" ref="AD44:AD72" si="25">Z44-(I44-O44)</f>
        <v>0</v>
      </c>
      <c r="AE44" s="2"/>
      <c r="AG44">
        <f t="shared" ref="AG44:AG72" si="26">A44</f>
        <v>1989</v>
      </c>
      <c r="AH44" s="6">
        <f t="shared" si="5"/>
        <v>0.21623734169640349</v>
      </c>
      <c r="AI44" s="6">
        <f t="shared" si="5"/>
        <v>0.26898318084286105</v>
      </c>
      <c r="AJ44" s="7"/>
      <c r="AK44" s="7"/>
      <c r="AL44" s="6">
        <f t="shared" ref="AL44:AM59" si="27">W44/$Z44</f>
        <v>0.15319193778955839</v>
      </c>
      <c r="AM44" s="7"/>
      <c r="AN44" s="6">
        <f t="shared" ref="AN44:AN72" si="28">Y44/$Z44</f>
        <v>0.36158753967117713</v>
      </c>
      <c r="AO44" s="6">
        <f t="shared" ref="AO44:AO68" si="29">SUM(AH44:AN44)</f>
        <v>1</v>
      </c>
      <c r="AP44" s="7">
        <f t="shared" ref="AP44:AP68" si="30">SUM(AH44:AM44)</f>
        <v>0.63841246032882293</v>
      </c>
      <c r="AQ44" s="7">
        <f t="shared" ref="AQ44:AQ72" si="31">AO44-(AP44+AN44)</f>
        <v>0</v>
      </c>
      <c r="AR44" s="24"/>
      <c r="AS44">
        <f t="shared" ref="AS44:AS72" si="32">AG44</f>
        <v>1989</v>
      </c>
      <c r="AT44" s="1" t="b">
        <f t="shared" ref="AT44:AT72" si="33">AND((S44/$Z44)&gt;0.15,(S44/$Z44)&lt;0.25)</f>
        <v>1</v>
      </c>
      <c r="AU44" s="1" t="b">
        <f t="shared" ref="AU44:AU53" si="34">AND((T44/$Z44)&gt;0.2,(T44/$Z44)&lt;0.3)</f>
        <v>1</v>
      </c>
      <c r="AX44" s="1" t="b">
        <f t="shared" ref="AX44:AX51" si="35">AND((W44/$Z44)&gt;0.1,(W44/$Z44)&lt;0.2)</f>
        <v>1</v>
      </c>
      <c r="AZ44" s="1" t="b">
        <f t="shared" ref="AZ44:AZ75" si="36">AND((Y44/$Z44)&gt;0.35,(Y44/$Z44)&lt;0.45)</f>
        <v>1</v>
      </c>
      <c r="BA44" s="1" t="b">
        <f t="shared" ref="BA44:BA72" si="37">AND((Z44/$Z44)&gt;0.999,(Z44/$Z44)&lt;1.01)</f>
        <v>1</v>
      </c>
      <c r="BC44">
        <f t="shared" ref="BC44:BC72" si="38">AS44</f>
        <v>1989</v>
      </c>
      <c r="BD44" s="2">
        <f t="shared" ref="BD44:BE67" si="39">S44</f>
        <v>27508.791821024999</v>
      </c>
      <c r="BE44" s="2">
        <f t="shared" si="39"/>
        <v>34218.892385165003</v>
      </c>
      <c r="BF44" s="2"/>
      <c r="BG44" s="2"/>
      <c r="BH44" s="2">
        <f t="shared" si="8"/>
        <v>19488.42458130563</v>
      </c>
      <c r="BI44" s="2"/>
      <c r="BJ44" s="2">
        <f>Y44</f>
        <v>45999.623727599996</v>
      </c>
      <c r="BK44" s="2">
        <f t="shared" ref="BK44:BK72" si="40">Z44</f>
        <v>127215.73251509562</v>
      </c>
      <c r="BL44" s="2">
        <f t="shared" ref="BL44:BL72" si="41">SUM(BD44:BJ44)-Z44</f>
        <v>0</v>
      </c>
      <c r="BM44" s="2"/>
    </row>
    <row r="45" spans="1:72" x14ac:dyDescent="0.2">
      <c r="A45">
        <f t="shared" si="6"/>
        <v>1990</v>
      </c>
      <c r="B45" s="2">
        <f t="shared" si="9"/>
        <v>26595.499932566971</v>
      </c>
      <c r="C45" s="2">
        <f t="shared" si="10"/>
        <v>29412.84894966858</v>
      </c>
      <c r="D45" s="2"/>
      <c r="E45" s="2"/>
      <c r="F45" s="2">
        <f t="shared" si="11"/>
        <v>17099.143727637558</v>
      </c>
      <c r="G45" s="2"/>
      <c r="H45" s="2">
        <f t="shared" si="12"/>
        <v>49978.591180037394</v>
      </c>
      <c r="I45" s="2">
        <f t="shared" ref="I45:I67" si="42">SUM(B45:H45)</f>
        <v>123086.08378991051</v>
      </c>
      <c r="J45" s="2">
        <f t="shared" si="13"/>
        <v>-9492.6844966851349</v>
      </c>
      <c r="K45" s="83">
        <f t="shared" si="14"/>
        <v>-7.1600337062754954E-2</v>
      </c>
      <c r="L45" s="7">
        <f t="shared" si="15"/>
        <v>0.92839966293724507</v>
      </c>
      <c r="N45">
        <f t="shared" si="16"/>
        <v>1990</v>
      </c>
      <c r="O45" s="2">
        <f t="shared" si="17"/>
        <v>5700.9070251044986</v>
      </c>
      <c r="P45" s="2"/>
      <c r="Q45" s="2"/>
      <c r="R45">
        <f t="shared" si="18"/>
        <v>1990</v>
      </c>
      <c r="S45" s="2">
        <f t="shared" si="19"/>
        <v>25170.273176290844</v>
      </c>
      <c r="T45" s="2">
        <f t="shared" si="19"/>
        <v>27987.622193392453</v>
      </c>
      <c r="U45" s="2"/>
      <c r="V45" s="2"/>
      <c r="W45" s="2">
        <f t="shared" si="7"/>
        <v>15673.916971361434</v>
      </c>
      <c r="X45" s="2"/>
      <c r="Y45" s="2">
        <f t="shared" si="20"/>
        <v>48553.364423761268</v>
      </c>
      <c r="Z45" s="2">
        <f t="shared" si="21"/>
        <v>117385.176764806</v>
      </c>
      <c r="AA45" s="2">
        <f t="shared" si="22"/>
        <v>-9830.5557502896118</v>
      </c>
      <c r="AB45" s="83">
        <f t="shared" si="23"/>
        <v>-7.7274685732152681E-2</v>
      </c>
      <c r="AC45" s="7">
        <f t="shared" si="24"/>
        <v>0.92272531426784732</v>
      </c>
      <c r="AD45" s="2">
        <f t="shared" si="25"/>
        <v>0</v>
      </c>
      <c r="AE45" s="2"/>
      <c r="AG45">
        <f t="shared" si="26"/>
        <v>1990</v>
      </c>
      <c r="AH45" s="6">
        <f t="shared" si="5"/>
        <v>0.21442463069014436</v>
      </c>
      <c r="AI45" s="6">
        <f t="shared" si="5"/>
        <v>0.23842552326235114</v>
      </c>
      <c r="AJ45" s="7"/>
      <c r="AK45" s="7"/>
      <c r="AL45" s="6">
        <f t="shared" si="27"/>
        <v>0.13352552173402468</v>
      </c>
      <c r="AM45" s="7"/>
      <c r="AN45" s="6">
        <f t="shared" si="28"/>
        <v>0.41362432431347979</v>
      </c>
      <c r="AO45" s="6">
        <f t="shared" si="29"/>
        <v>1</v>
      </c>
      <c r="AP45" s="7">
        <f t="shared" si="30"/>
        <v>0.58637567568652016</v>
      </c>
      <c r="AQ45" s="7">
        <f t="shared" si="31"/>
        <v>0</v>
      </c>
      <c r="AR45" s="24"/>
      <c r="AS45">
        <f t="shared" si="32"/>
        <v>1990</v>
      </c>
      <c r="AT45" s="1" t="b">
        <f t="shared" si="33"/>
        <v>1</v>
      </c>
      <c r="AU45" s="1" t="b">
        <f t="shared" si="34"/>
        <v>1</v>
      </c>
      <c r="AX45" s="1" t="b">
        <f t="shared" si="35"/>
        <v>1</v>
      </c>
      <c r="AZ45" s="1" t="b">
        <f t="shared" si="36"/>
        <v>1</v>
      </c>
      <c r="BA45" s="1" t="b">
        <f t="shared" si="37"/>
        <v>1</v>
      </c>
      <c r="BC45">
        <f t="shared" si="38"/>
        <v>1990</v>
      </c>
      <c r="BD45" s="2">
        <f t="shared" si="39"/>
        <v>25170.273176290844</v>
      </c>
      <c r="BE45" s="2">
        <f t="shared" si="39"/>
        <v>27987.622193392453</v>
      </c>
      <c r="BF45" s="2"/>
      <c r="BG45" s="2"/>
      <c r="BH45" s="2">
        <f t="shared" si="8"/>
        <v>15673.916971361434</v>
      </c>
      <c r="BI45" s="2"/>
      <c r="BJ45" s="2">
        <f>Y45</f>
        <v>48553.364423761268</v>
      </c>
      <c r="BK45" s="2">
        <f t="shared" si="40"/>
        <v>117385.176764806</v>
      </c>
      <c r="BL45" s="2">
        <f t="shared" si="41"/>
        <v>0</v>
      </c>
      <c r="BM45" s="2"/>
    </row>
    <row r="46" spans="1:72" x14ac:dyDescent="0.2">
      <c r="A46">
        <f t="shared" si="6"/>
        <v>1991</v>
      </c>
      <c r="B46" s="2">
        <f t="shared" si="9"/>
        <v>32776.729730165935</v>
      </c>
      <c r="C46" s="2">
        <f t="shared" si="10"/>
        <v>39700.442081327201</v>
      </c>
      <c r="D46" s="2"/>
      <c r="E46" s="2"/>
      <c r="F46" s="2">
        <f t="shared" si="11"/>
        <v>17234.412145030179</v>
      </c>
      <c r="G46" s="2"/>
      <c r="H46" s="2">
        <f t="shared" si="12"/>
        <v>55957.752498384863</v>
      </c>
      <c r="I46" s="2">
        <f t="shared" si="42"/>
        <v>145669.33645490819</v>
      </c>
      <c r="J46" s="2">
        <f t="shared" si="13"/>
        <v>22583.252664997679</v>
      </c>
      <c r="K46" s="83">
        <f t="shared" si="14"/>
        <v>0.18347527169313393</v>
      </c>
      <c r="L46" s="7">
        <f t="shared" si="15"/>
        <v>1.1834752716931338</v>
      </c>
      <c r="N46">
        <f t="shared" si="16"/>
        <v>1991</v>
      </c>
      <c r="O46" s="2">
        <f t="shared" si="17"/>
        <v>5871.9342358576341</v>
      </c>
      <c r="P46" s="2"/>
      <c r="Q46" s="2"/>
      <c r="R46">
        <f t="shared" si="18"/>
        <v>1991</v>
      </c>
      <c r="S46" s="2">
        <f t="shared" si="19"/>
        <v>31308.746171201525</v>
      </c>
      <c r="T46" s="2">
        <f t="shared" si="19"/>
        <v>38232.458522362795</v>
      </c>
      <c r="U46" s="2"/>
      <c r="V46" s="2"/>
      <c r="W46" s="2">
        <f t="shared" si="7"/>
        <v>15766.428586065771</v>
      </c>
      <c r="X46" s="2"/>
      <c r="Y46" s="2">
        <f t="shared" si="20"/>
        <v>54489.768939420457</v>
      </c>
      <c r="Z46" s="2">
        <f t="shared" si="21"/>
        <v>139797.40221905053</v>
      </c>
      <c r="AA46" s="2">
        <f t="shared" si="22"/>
        <v>22412.22545424453</v>
      </c>
      <c r="AB46" s="83">
        <f t="shared" si="23"/>
        <v>0.19092892366767797</v>
      </c>
      <c r="AC46" s="7">
        <f t="shared" si="24"/>
        <v>1.1909289236676779</v>
      </c>
      <c r="AD46" s="2">
        <f t="shared" si="25"/>
        <v>0</v>
      </c>
      <c r="AE46" s="2"/>
      <c r="AG46">
        <f t="shared" si="26"/>
        <v>1991</v>
      </c>
      <c r="AH46" s="6">
        <f t="shared" si="5"/>
        <v>0.22395799688855023</v>
      </c>
      <c r="AI46" s="6">
        <f t="shared" si="5"/>
        <v>0.27348475662270044</v>
      </c>
      <c r="AJ46" s="7"/>
      <c r="AK46" s="7"/>
      <c r="AL46" s="6">
        <f t="shared" si="27"/>
        <v>0.11278055483006136</v>
      </c>
      <c r="AM46" s="7"/>
      <c r="AN46" s="6">
        <f t="shared" si="28"/>
        <v>0.38977669165868806</v>
      </c>
      <c r="AO46" s="6">
        <f t="shared" si="29"/>
        <v>1</v>
      </c>
      <c r="AP46" s="7">
        <f t="shared" si="30"/>
        <v>0.610223308341312</v>
      </c>
      <c r="AQ46" s="7">
        <f t="shared" si="31"/>
        <v>0</v>
      </c>
      <c r="AR46" s="24"/>
      <c r="AS46">
        <f t="shared" si="32"/>
        <v>1991</v>
      </c>
      <c r="AT46" s="1" t="b">
        <f t="shared" si="33"/>
        <v>1</v>
      </c>
      <c r="AU46" s="1" t="b">
        <f t="shared" si="34"/>
        <v>1</v>
      </c>
      <c r="AX46" s="1" t="b">
        <f t="shared" si="35"/>
        <v>1</v>
      </c>
      <c r="AZ46" s="1" t="b">
        <f t="shared" si="36"/>
        <v>1</v>
      </c>
      <c r="BA46" s="1" t="b">
        <f t="shared" si="37"/>
        <v>1</v>
      </c>
      <c r="BC46">
        <f t="shared" si="38"/>
        <v>1991</v>
      </c>
      <c r="BD46" s="2">
        <f t="shared" si="39"/>
        <v>31308.746171201525</v>
      </c>
      <c r="BE46" s="2">
        <f t="shared" si="39"/>
        <v>38232.458522362795</v>
      </c>
      <c r="BF46" s="2"/>
      <c r="BG46" s="2"/>
      <c r="BH46" s="2">
        <f t="shared" si="8"/>
        <v>15766.428586065771</v>
      </c>
      <c r="BI46" s="2"/>
      <c r="BJ46" s="2">
        <f>Y46</f>
        <v>54489.768939420457</v>
      </c>
      <c r="BK46" s="2">
        <f t="shared" si="40"/>
        <v>139797.40221905053</v>
      </c>
      <c r="BL46" s="2">
        <f t="shared" si="41"/>
        <v>0</v>
      </c>
      <c r="BM46" s="2"/>
    </row>
    <row r="47" spans="1:72" x14ac:dyDescent="0.2">
      <c r="A47">
        <f t="shared" si="6"/>
        <v>1992</v>
      </c>
      <c r="B47" s="2">
        <f t="shared" si="9"/>
        <v>33631.855137104678</v>
      </c>
      <c r="C47" s="2">
        <f t="shared" si="10"/>
        <v>42998.516801760539</v>
      </c>
      <c r="D47" s="2"/>
      <c r="E47" s="2"/>
      <c r="F47" s="2">
        <f t="shared" si="11"/>
        <v>14391.438349074975</v>
      </c>
      <c r="G47" s="2"/>
      <c r="H47" s="2">
        <f t="shared" si="12"/>
        <v>58380.338441695072</v>
      </c>
      <c r="I47" s="2">
        <f t="shared" si="42"/>
        <v>149402.14872963529</v>
      </c>
      <c r="J47" s="2">
        <f t="shared" si="13"/>
        <v>3732.8122747270972</v>
      </c>
      <c r="K47" s="83">
        <f t="shared" si="14"/>
        <v>2.5625243895324435E-2</v>
      </c>
      <c r="L47" s="7">
        <f t="shared" si="15"/>
        <v>1.0256252438953244</v>
      </c>
      <c r="N47">
        <f t="shared" si="16"/>
        <v>1992</v>
      </c>
      <c r="O47" s="2">
        <f t="shared" si="17"/>
        <v>6048.0922629333636</v>
      </c>
      <c r="P47" s="2"/>
      <c r="Q47" s="2"/>
      <c r="R47">
        <f t="shared" si="18"/>
        <v>1992</v>
      </c>
      <c r="S47" s="2">
        <f t="shared" si="19"/>
        <v>32119.832071371336</v>
      </c>
      <c r="T47" s="2">
        <f t="shared" si="19"/>
        <v>41486.493736027202</v>
      </c>
      <c r="U47" s="2"/>
      <c r="V47" s="2"/>
      <c r="W47" s="2">
        <f t="shared" si="7"/>
        <v>12879.415283341634</v>
      </c>
      <c r="X47" s="2"/>
      <c r="Y47" s="2">
        <f t="shared" si="20"/>
        <v>56868.315375961734</v>
      </c>
      <c r="Z47" s="2">
        <f t="shared" si="21"/>
        <v>143354.05646670191</v>
      </c>
      <c r="AA47" s="2">
        <f t="shared" si="22"/>
        <v>3556.6542476513714</v>
      </c>
      <c r="AB47" s="83">
        <f t="shared" si="23"/>
        <v>2.5441490265165297E-2</v>
      </c>
      <c r="AC47" s="7">
        <f t="shared" si="24"/>
        <v>1.0254414902651654</v>
      </c>
      <c r="AD47" s="2">
        <f t="shared" si="25"/>
        <v>0</v>
      </c>
      <c r="AE47" s="2"/>
      <c r="AG47">
        <f t="shared" si="26"/>
        <v>1992</v>
      </c>
      <c r="AH47" s="6">
        <f t="shared" si="5"/>
        <v>0.22405945714436123</v>
      </c>
      <c r="AI47" s="59">
        <f t="shared" si="5"/>
        <v>0.28939881269187268</v>
      </c>
      <c r="AJ47" s="7"/>
      <c r="AK47" s="7"/>
      <c r="AL47" s="38">
        <f t="shared" si="27"/>
        <v>8.9843396139496393E-2</v>
      </c>
      <c r="AM47" s="7"/>
      <c r="AN47" s="6">
        <f t="shared" si="28"/>
        <v>0.39669833402426974</v>
      </c>
      <c r="AO47" s="6">
        <f t="shared" si="29"/>
        <v>1</v>
      </c>
      <c r="AP47" s="7">
        <f t="shared" si="30"/>
        <v>0.60330166597573032</v>
      </c>
      <c r="AQ47" s="7">
        <f t="shared" si="31"/>
        <v>0</v>
      </c>
      <c r="AR47" s="24"/>
      <c r="AS47">
        <f t="shared" si="32"/>
        <v>1992</v>
      </c>
      <c r="AT47" s="1" t="b">
        <f t="shared" si="33"/>
        <v>1</v>
      </c>
      <c r="AU47" s="1" t="b">
        <f t="shared" si="34"/>
        <v>1</v>
      </c>
      <c r="AX47" s="39" t="b">
        <f t="shared" si="35"/>
        <v>0</v>
      </c>
      <c r="AZ47" s="1" t="b">
        <f t="shared" si="36"/>
        <v>1</v>
      </c>
      <c r="BA47" s="1" t="b">
        <f t="shared" si="37"/>
        <v>1</v>
      </c>
      <c r="BC47">
        <f t="shared" si="38"/>
        <v>1992</v>
      </c>
      <c r="BD47" s="40">
        <f>$BK47*BD$42</f>
        <v>28670.811293340383</v>
      </c>
      <c r="BE47" s="40">
        <f>$BK47*BE$42</f>
        <v>35838.514116675477</v>
      </c>
      <c r="BF47" s="2"/>
      <c r="BG47" s="2"/>
      <c r="BH47" s="40">
        <f>$BK47*BH$42</f>
        <v>21503.108470005285</v>
      </c>
      <c r="BI47" s="2"/>
      <c r="BJ47" s="40">
        <f>$BK47*BJ$42</f>
        <v>57341.622586680765</v>
      </c>
      <c r="BK47" s="2">
        <f t="shared" si="40"/>
        <v>143354.05646670191</v>
      </c>
      <c r="BL47" s="2">
        <f t="shared" si="41"/>
        <v>0</v>
      </c>
      <c r="BM47" s="2"/>
      <c r="BN47" s="2"/>
      <c r="BO47" s="2"/>
      <c r="BP47" s="2"/>
      <c r="BQ47" s="2"/>
      <c r="BR47" s="2"/>
      <c r="BS47" s="2"/>
      <c r="BT47" s="2"/>
    </row>
    <row r="48" spans="1:72" x14ac:dyDescent="0.2">
      <c r="A48">
        <f t="shared" si="6"/>
        <v>1993</v>
      </c>
      <c r="B48" s="2">
        <f t="shared" si="9"/>
        <v>31506.354530251745</v>
      </c>
      <c r="C48" s="2">
        <f t="shared" si="10"/>
        <v>41031.514812181755</v>
      </c>
      <c r="D48" s="2"/>
      <c r="E48" s="2"/>
      <c r="F48" s="2">
        <f t="shared" si="11"/>
        <v>28060.266366848697</v>
      </c>
      <c r="G48" s="2"/>
      <c r="H48" s="2">
        <f t="shared" si="12"/>
        <v>62892.291653071465</v>
      </c>
      <c r="I48" s="2">
        <f t="shared" si="42"/>
        <v>163490.42736235366</v>
      </c>
      <c r="J48" s="2">
        <f t="shared" si="13"/>
        <v>14088.278632718371</v>
      </c>
      <c r="K48" s="83">
        <f t="shared" si="14"/>
        <v>9.4297697539900457E-2</v>
      </c>
      <c r="L48" s="7">
        <f t="shared" si="15"/>
        <v>1.0942976975399004</v>
      </c>
      <c r="N48">
        <f t="shared" si="16"/>
        <v>1993</v>
      </c>
      <c r="O48" s="2">
        <f t="shared" si="17"/>
        <v>6217.4388462954976</v>
      </c>
      <c r="P48" s="2"/>
      <c r="Q48" s="2"/>
      <c r="R48">
        <f t="shared" si="18"/>
        <v>1993</v>
      </c>
      <c r="S48" s="2">
        <f t="shared" si="19"/>
        <v>29951.994818677871</v>
      </c>
      <c r="T48" s="2">
        <f t="shared" si="19"/>
        <v>39477.155100607881</v>
      </c>
      <c r="U48" s="2"/>
      <c r="V48" s="2"/>
      <c r="W48" s="2">
        <f t="shared" si="7"/>
        <v>26505.906655274823</v>
      </c>
      <c r="X48" s="2"/>
      <c r="Y48" s="2">
        <f t="shared" si="20"/>
        <v>61337.931941497591</v>
      </c>
      <c r="Z48" s="2">
        <f t="shared" si="21"/>
        <v>157272.98851605819</v>
      </c>
      <c r="AA48" s="2">
        <f t="shared" si="22"/>
        <v>13918.932049356285</v>
      </c>
      <c r="AB48" s="83">
        <f t="shared" si="23"/>
        <v>9.709479028651942E-2</v>
      </c>
      <c r="AC48" s="7">
        <f t="shared" si="24"/>
        <v>1.0970947902865194</v>
      </c>
      <c r="AD48" s="2">
        <f t="shared" si="25"/>
        <v>0</v>
      </c>
      <c r="AE48" s="2"/>
      <c r="AG48">
        <f t="shared" si="26"/>
        <v>1993</v>
      </c>
      <c r="AH48" s="6">
        <f t="shared" si="5"/>
        <v>0.19044589348297183</v>
      </c>
      <c r="AI48" s="6">
        <f t="shared" si="5"/>
        <v>0.25101039582888773</v>
      </c>
      <c r="AJ48" s="7"/>
      <c r="AK48" s="7"/>
      <c r="AL48" s="6">
        <f t="shared" si="27"/>
        <v>0.16853438664433126</v>
      </c>
      <c r="AM48" s="7"/>
      <c r="AN48" s="6">
        <f t="shared" si="28"/>
        <v>0.390009324043809</v>
      </c>
      <c r="AO48" s="6">
        <f t="shared" si="29"/>
        <v>0.99999999999999978</v>
      </c>
      <c r="AP48" s="7">
        <f t="shared" si="30"/>
        <v>0.60999067595619083</v>
      </c>
      <c r="AQ48" s="7">
        <f t="shared" si="31"/>
        <v>0</v>
      </c>
      <c r="AR48" s="24"/>
      <c r="AS48">
        <f t="shared" si="32"/>
        <v>1993</v>
      </c>
      <c r="AT48" s="1" t="b">
        <f t="shared" si="33"/>
        <v>1</v>
      </c>
      <c r="AU48" s="1" t="b">
        <f t="shared" si="34"/>
        <v>1</v>
      </c>
      <c r="AX48" s="1" t="b">
        <f t="shared" si="35"/>
        <v>1</v>
      </c>
      <c r="AZ48" s="1" t="b">
        <f t="shared" si="36"/>
        <v>1</v>
      </c>
      <c r="BA48" s="1" t="b">
        <f t="shared" si="37"/>
        <v>1</v>
      </c>
      <c r="BC48">
        <f t="shared" si="38"/>
        <v>1993</v>
      </c>
      <c r="BD48" s="2">
        <f t="shared" si="39"/>
        <v>29951.994818677871</v>
      </c>
      <c r="BE48" s="2">
        <f t="shared" si="39"/>
        <v>39477.155100607881</v>
      </c>
      <c r="BF48" s="2"/>
      <c r="BG48" s="2"/>
      <c r="BH48" s="2">
        <f t="shared" si="8"/>
        <v>26505.906655274823</v>
      </c>
      <c r="BI48" s="2"/>
      <c r="BJ48" s="2">
        <f>Y48</f>
        <v>61337.931941497591</v>
      </c>
      <c r="BK48" s="2">
        <f t="shared" si="40"/>
        <v>157272.98851605819</v>
      </c>
      <c r="BL48" s="2">
        <f t="shared" si="41"/>
        <v>0</v>
      </c>
      <c r="BM48" s="2"/>
    </row>
    <row r="49" spans="1:65" x14ac:dyDescent="0.2">
      <c r="A49">
        <f t="shared" si="6"/>
        <v>1994</v>
      </c>
      <c r="B49" s="2">
        <f t="shared" si="9"/>
        <v>30305.428357538272</v>
      </c>
      <c r="C49" s="2">
        <f t="shared" si="10"/>
        <v>38780.778084633159</v>
      </c>
      <c r="D49" s="2"/>
      <c r="E49" s="2"/>
      <c r="F49" s="2">
        <f t="shared" si="11"/>
        <v>27898.792050009517</v>
      </c>
      <c r="G49" s="2"/>
      <c r="H49" s="2">
        <f t="shared" si="12"/>
        <v>59706.34295185376</v>
      </c>
      <c r="I49" s="2">
        <f t="shared" si="42"/>
        <v>156691.34144403471</v>
      </c>
      <c r="J49" s="2">
        <f t="shared" si="13"/>
        <v>-6799.0859183189459</v>
      </c>
      <c r="K49" s="83">
        <f t="shared" si="14"/>
        <v>-4.1587058202800606E-2</v>
      </c>
      <c r="L49" s="7">
        <f t="shared" si="15"/>
        <v>0.95841294179719938</v>
      </c>
      <c r="N49">
        <f t="shared" si="16"/>
        <v>1994</v>
      </c>
      <c r="O49" s="2">
        <f t="shared" si="17"/>
        <v>6379.0922562991809</v>
      </c>
      <c r="P49" s="2"/>
      <c r="Q49" s="2"/>
      <c r="R49">
        <f t="shared" si="18"/>
        <v>1994</v>
      </c>
      <c r="S49" s="2">
        <f t="shared" si="19"/>
        <v>28710.655293463478</v>
      </c>
      <c r="T49" s="2">
        <f t="shared" si="19"/>
        <v>37186.005020558361</v>
      </c>
      <c r="U49" s="2"/>
      <c r="V49" s="2"/>
      <c r="W49" s="2">
        <f t="shared" si="7"/>
        <v>26304.018985934723</v>
      </c>
      <c r="X49" s="2"/>
      <c r="Y49" s="2">
        <f t="shared" si="20"/>
        <v>58111.569887778962</v>
      </c>
      <c r="Z49" s="2">
        <f t="shared" si="21"/>
        <v>150312.24918773552</v>
      </c>
      <c r="AA49" s="2">
        <f t="shared" si="22"/>
        <v>-6960.7393283226702</v>
      </c>
      <c r="AB49" s="83">
        <f t="shared" si="23"/>
        <v>-4.4258962673758506E-2</v>
      </c>
      <c r="AC49" s="7">
        <f t="shared" si="24"/>
        <v>0.95574103732624149</v>
      </c>
      <c r="AD49" s="2">
        <f t="shared" si="25"/>
        <v>0</v>
      </c>
      <c r="AE49" s="2"/>
      <c r="AG49">
        <f t="shared" si="26"/>
        <v>1994</v>
      </c>
      <c r="AH49" s="6">
        <f t="shared" si="5"/>
        <v>0.1910067572577184</v>
      </c>
      <c r="AI49" s="6">
        <f t="shared" si="5"/>
        <v>0.24739171439124796</v>
      </c>
      <c r="AJ49" s="7"/>
      <c r="AK49" s="7"/>
      <c r="AL49" s="6">
        <f t="shared" si="27"/>
        <v>0.17499584450420794</v>
      </c>
      <c r="AM49" s="7"/>
      <c r="AN49" s="6">
        <f t="shared" si="28"/>
        <v>0.3866056838468257</v>
      </c>
      <c r="AO49" s="6">
        <f t="shared" si="29"/>
        <v>1</v>
      </c>
      <c r="AP49" s="7">
        <f t="shared" si="30"/>
        <v>0.6133943161531743</v>
      </c>
      <c r="AQ49" s="7">
        <f t="shared" si="31"/>
        <v>0</v>
      </c>
      <c r="AR49" s="24"/>
      <c r="AS49">
        <f t="shared" si="32"/>
        <v>1994</v>
      </c>
      <c r="AT49" s="1" t="b">
        <f t="shared" si="33"/>
        <v>1</v>
      </c>
      <c r="AU49" s="1" t="b">
        <f t="shared" si="34"/>
        <v>1</v>
      </c>
      <c r="AX49" s="1" t="b">
        <f t="shared" si="35"/>
        <v>1</v>
      </c>
      <c r="AZ49" s="1" t="b">
        <f t="shared" si="36"/>
        <v>1</v>
      </c>
      <c r="BA49" s="1" t="b">
        <f t="shared" si="37"/>
        <v>1</v>
      </c>
      <c r="BC49">
        <f t="shared" si="38"/>
        <v>1994</v>
      </c>
      <c r="BD49" s="2">
        <f t="shared" si="39"/>
        <v>28710.655293463478</v>
      </c>
      <c r="BE49" s="2">
        <f t="shared" si="39"/>
        <v>37186.005020558361</v>
      </c>
      <c r="BF49" s="2"/>
      <c r="BG49" s="2"/>
      <c r="BH49" s="2">
        <f t="shared" si="8"/>
        <v>26304.018985934723</v>
      </c>
      <c r="BI49" s="2"/>
      <c r="BJ49" s="2">
        <f>Y49</f>
        <v>58111.569887778962</v>
      </c>
      <c r="BK49" s="2">
        <f t="shared" si="40"/>
        <v>150312.24918773552</v>
      </c>
      <c r="BL49" s="2">
        <f t="shared" si="41"/>
        <v>0</v>
      </c>
      <c r="BM49" s="2"/>
    </row>
    <row r="50" spans="1:65" x14ac:dyDescent="0.2">
      <c r="A50">
        <f t="shared" si="6"/>
        <v>1995</v>
      </c>
      <c r="B50" s="2">
        <f t="shared" si="9"/>
        <v>39462.79570086555</v>
      </c>
      <c r="C50" s="2">
        <f t="shared" si="10"/>
        <v>49753.759137356465</v>
      </c>
      <c r="D50" s="2"/>
      <c r="E50" s="2"/>
      <c r="F50" s="2">
        <f t="shared" si="11"/>
        <v>28841.304657317985</v>
      </c>
      <c r="G50" s="2"/>
      <c r="H50" s="2">
        <f t="shared" si="12"/>
        <v>68676.253293377173</v>
      </c>
      <c r="I50" s="2">
        <f t="shared" si="42"/>
        <v>186734.11278891718</v>
      </c>
      <c r="J50" s="2">
        <f t="shared" si="13"/>
        <v>30042.771344882465</v>
      </c>
      <c r="K50" s="83">
        <f t="shared" si="14"/>
        <v>0.19173217274173895</v>
      </c>
      <c r="L50" s="7">
        <f t="shared" si="15"/>
        <v>1.1917321727417389</v>
      </c>
      <c r="N50">
        <f t="shared" si="16"/>
        <v>1995</v>
      </c>
      <c r="O50" s="2">
        <f t="shared" si="17"/>
        <v>6538.5695627066598</v>
      </c>
      <c r="P50" s="2"/>
      <c r="Q50" s="2"/>
      <c r="R50">
        <f t="shared" si="18"/>
        <v>1995</v>
      </c>
      <c r="S50" s="2">
        <f t="shared" si="19"/>
        <v>37828.153310188885</v>
      </c>
      <c r="T50" s="2">
        <f t="shared" si="19"/>
        <v>48119.1167466798</v>
      </c>
      <c r="U50" s="2"/>
      <c r="V50" s="2"/>
      <c r="W50" s="2">
        <f t="shared" si="7"/>
        <v>27206.66226664132</v>
      </c>
      <c r="X50" s="2"/>
      <c r="Y50" s="2">
        <f t="shared" si="20"/>
        <v>67041.610902700515</v>
      </c>
      <c r="Z50" s="2">
        <f t="shared" si="21"/>
        <v>180195.54322621052</v>
      </c>
      <c r="AA50" s="2">
        <f t="shared" si="22"/>
        <v>29883.294038474996</v>
      </c>
      <c r="AB50" s="83">
        <f t="shared" si="23"/>
        <v>0.19880810911924851</v>
      </c>
      <c r="AC50" s="7">
        <f t="shared" si="24"/>
        <v>1.1988081091192484</v>
      </c>
      <c r="AD50" s="2">
        <f t="shared" si="25"/>
        <v>0</v>
      </c>
      <c r="AE50" s="2"/>
      <c r="AG50">
        <f t="shared" si="26"/>
        <v>1995</v>
      </c>
      <c r="AH50" s="6">
        <f t="shared" si="5"/>
        <v>0.20992835135051527</v>
      </c>
      <c r="AI50" s="6">
        <f t="shared" si="5"/>
        <v>0.26703832894619883</v>
      </c>
      <c r="AJ50" s="7"/>
      <c r="AK50" s="7"/>
      <c r="AL50" s="6">
        <f t="shared" si="27"/>
        <v>0.15098410193468065</v>
      </c>
      <c r="AM50" s="7"/>
      <c r="AN50" s="6">
        <f t="shared" si="28"/>
        <v>0.37204921776860522</v>
      </c>
      <c r="AO50" s="6">
        <f t="shared" si="29"/>
        <v>1</v>
      </c>
      <c r="AP50" s="7">
        <f t="shared" si="30"/>
        <v>0.62795078223139478</v>
      </c>
      <c r="AQ50" s="7">
        <f t="shared" si="31"/>
        <v>0</v>
      </c>
      <c r="AR50" s="24"/>
      <c r="AS50">
        <f t="shared" si="32"/>
        <v>1995</v>
      </c>
      <c r="AT50" s="1" t="b">
        <f t="shared" si="33"/>
        <v>1</v>
      </c>
      <c r="AU50" s="1" t="b">
        <f t="shared" si="34"/>
        <v>1</v>
      </c>
      <c r="AX50" s="1" t="b">
        <f t="shared" si="35"/>
        <v>1</v>
      </c>
      <c r="AZ50" s="1" t="b">
        <f t="shared" si="36"/>
        <v>1</v>
      </c>
      <c r="BA50" s="1" t="b">
        <f t="shared" si="37"/>
        <v>1</v>
      </c>
      <c r="BC50">
        <f t="shared" si="38"/>
        <v>1995</v>
      </c>
      <c r="BD50" s="2">
        <f t="shared" si="39"/>
        <v>37828.153310188885</v>
      </c>
      <c r="BE50" s="2">
        <f t="shared" si="39"/>
        <v>48119.1167466798</v>
      </c>
      <c r="BF50" s="2"/>
      <c r="BG50" s="2"/>
      <c r="BH50" s="2">
        <f t="shared" si="8"/>
        <v>27206.66226664132</v>
      </c>
      <c r="BI50" s="2"/>
      <c r="BJ50" s="2">
        <f>Y50</f>
        <v>67041.610902700515</v>
      </c>
      <c r="BK50" s="2">
        <f t="shared" si="40"/>
        <v>180195.54322621052</v>
      </c>
      <c r="BL50" s="2">
        <f t="shared" si="41"/>
        <v>0</v>
      </c>
      <c r="BM50" s="2"/>
    </row>
    <row r="51" spans="1:65" x14ac:dyDescent="0.2">
      <c r="A51">
        <f t="shared" si="6"/>
        <v>1996</v>
      </c>
      <c r="B51" s="2">
        <f t="shared" si="9"/>
        <v>46483.234787560104</v>
      </c>
      <c r="C51" s="2">
        <f t="shared" si="10"/>
        <v>56610.697278966378</v>
      </c>
      <c r="D51" s="2"/>
      <c r="E51" s="2"/>
      <c r="F51" s="2">
        <f t="shared" si="11"/>
        <v>29986.911083669398</v>
      </c>
      <c r="G51" s="2"/>
      <c r="H51" s="2">
        <f t="shared" si="12"/>
        <v>69441.700573017195</v>
      </c>
      <c r="I51" s="2">
        <f t="shared" si="42"/>
        <v>202522.54372321308</v>
      </c>
      <c r="J51" s="2">
        <f t="shared" si="13"/>
        <v>15788.430934295902</v>
      </c>
      <c r="K51" s="83">
        <f t="shared" si="14"/>
        <v>8.4550330405580604E-2</v>
      </c>
      <c r="L51" s="7">
        <f t="shared" si="15"/>
        <v>1.0845503304055806</v>
      </c>
      <c r="N51">
        <f t="shared" si="16"/>
        <v>1996</v>
      </c>
      <c r="O51" s="2">
        <f t="shared" si="17"/>
        <v>6760.8809278386861</v>
      </c>
      <c r="P51" s="2"/>
      <c r="Q51" s="2"/>
      <c r="R51">
        <f t="shared" si="18"/>
        <v>1996</v>
      </c>
      <c r="S51" s="2">
        <f t="shared" si="19"/>
        <v>44793.014555600435</v>
      </c>
      <c r="T51" s="2">
        <f t="shared" si="19"/>
        <v>54920.477047006709</v>
      </c>
      <c r="U51" s="2"/>
      <c r="V51" s="2"/>
      <c r="W51" s="2">
        <f t="shared" si="7"/>
        <v>28296.690851709725</v>
      </c>
      <c r="X51" s="2"/>
      <c r="Y51" s="2">
        <f t="shared" si="20"/>
        <v>67751.480341057526</v>
      </c>
      <c r="Z51" s="2">
        <f t="shared" si="21"/>
        <v>195761.6627953744</v>
      </c>
      <c r="AA51" s="2">
        <f t="shared" si="22"/>
        <v>15566.119569163886</v>
      </c>
      <c r="AB51" s="83">
        <f t="shared" si="23"/>
        <v>8.6384598034274257E-2</v>
      </c>
      <c r="AC51" s="7">
        <f t="shared" si="24"/>
        <v>1.0863845980342743</v>
      </c>
      <c r="AD51" s="2">
        <f t="shared" si="25"/>
        <v>0</v>
      </c>
      <c r="AE51" s="2"/>
      <c r="AG51">
        <f t="shared" si="26"/>
        <v>1996</v>
      </c>
      <c r="AH51" s="6">
        <f t="shared" si="5"/>
        <v>0.22881402781310478</v>
      </c>
      <c r="AI51" s="6">
        <f t="shared" si="5"/>
        <v>0.28054766322869834</v>
      </c>
      <c r="AJ51" s="7"/>
      <c r="AK51" s="7"/>
      <c r="AL51" s="6">
        <f t="shared" si="27"/>
        <v>0.14454664129660397</v>
      </c>
      <c r="AM51" s="6"/>
      <c r="AN51" s="38">
        <f t="shared" si="28"/>
        <v>0.34609166766159288</v>
      </c>
      <c r="AO51" s="6">
        <f t="shared" si="29"/>
        <v>1</v>
      </c>
      <c r="AP51" s="7">
        <f t="shared" si="30"/>
        <v>0.65390833233840706</v>
      </c>
      <c r="AQ51" s="7">
        <f t="shared" si="31"/>
        <v>0</v>
      </c>
      <c r="AR51" s="24"/>
      <c r="AS51">
        <f t="shared" si="32"/>
        <v>1996</v>
      </c>
      <c r="AT51" s="1" t="b">
        <f t="shared" si="33"/>
        <v>1</v>
      </c>
      <c r="AU51" s="1" t="b">
        <f t="shared" si="34"/>
        <v>1</v>
      </c>
      <c r="AX51" s="1" t="b">
        <f t="shared" si="35"/>
        <v>1</v>
      </c>
      <c r="AZ51" s="39" t="b">
        <f t="shared" si="36"/>
        <v>0</v>
      </c>
      <c r="BA51" s="1" t="b">
        <f t="shared" si="37"/>
        <v>1</v>
      </c>
      <c r="BC51">
        <f t="shared" si="38"/>
        <v>1996</v>
      </c>
      <c r="BD51" s="40">
        <f>$BK51*BD$42</f>
        <v>39152.332559074879</v>
      </c>
      <c r="BE51" s="40">
        <f>$BK51*BE$42</f>
        <v>48940.415698843601</v>
      </c>
      <c r="BF51" s="2"/>
      <c r="BG51" s="2"/>
      <c r="BH51" s="40">
        <f>$BK51*BH$42</f>
        <v>29364.249419306161</v>
      </c>
      <c r="BI51" s="2"/>
      <c r="BJ51" s="40">
        <f>$BK51*BJ$42</f>
        <v>78304.665118149758</v>
      </c>
      <c r="BK51" s="2">
        <f t="shared" si="40"/>
        <v>195761.6627953744</v>
      </c>
      <c r="BL51" s="2">
        <f t="shared" si="41"/>
        <v>0</v>
      </c>
      <c r="BM51" s="2"/>
    </row>
    <row r="52" spans="1:65" x14ac:dyDescent="0.2">
      <c r="A52">
        <f t="shared" si="6"/>
        <v>1997</v>
      </c>
      <c r="B52" s="2">
        <f t="shared" si="9"/>
        <v>52146.991735431831</v>
      </c>
      <c r="C52" s="2">
        <f t="shared" si="10"/>
        <v>62001.144436393988</v>
      </c>
      <c r="D52" s="2"/>
      <c r="E52" s="2"/>
      <c r="F52" s="2"/>
      <c r="G52" s="2">
        <f>BH51*(1+(G13/100))</f>
        <v>29136.676486306536</v>
      </c>
      <c r="H52" s="2">
        <f t="shared" si="12"/>
        <v>85696.625505303105</v>
      </c>
      <c r="I52" s="2">
        <f t="shared" si="42"/>
        <v>228981.43816343544</v>
      </c>
      <c r="J52" s="2">
        <f t="shared" si="13"/>
        <v>26458.894440222357</v>
      </c>
      <c r="K52" s="83">
        <f t="shared" si="14"/>
        <v>0.13064666260751517</v>
      </c>
      <c r="L52" s="7">
        <f t="shared" si="15"/>
        <v>1.1306466626075151</v>
      </c>
      <c r="N52">
        <f t="shared" si="16"/>
        <v>1997</v>
      </c>
      <c r="O52" s="2">
        <f t="shared" si="17"/>
        <v>6875.8159036119432</v>
      </c>
      <c r="P52" s="2"/>
      <c r="Q52" s="2"/>
      <c r="R52">
        <f t="shared" si="18"/>
        <v>1997</v>
      </c>
      <c r="S52" s="2">
        <f t="shared" si="19"/>
        <v>50428.037759528845</v>
      </c>
      <c r="T52" s="2">
        <f t="shared" si="19"/>
        <v>60282.190460491001</v>
      </c>
      <c r="U52" s="2"/>
      <c r="V52" s="2"/>
      <c r="W52" s="2"/>
      <c r="X52" s="2">
        <f>G52-($O52/4)</f>
        <v>27417.72251040355</v>
      </c>
      <c r="Y52" s="2">
        <f t="shared" si="20"/>
        <v>83977.671529400119</v>
      </c>
      <c r="Z52" s="2">
        <f t="shared" si="21"/>
        <v>222105.62225982349</v>
      </c>
      <c r="AA52" s="2">
        <f t="shared" si="22"/>
        <v>26343.959464449086</v>
      </c>
      <c r="AB52" s="83">
        <f t="shared" si="23"/>
        <v>0.1345715963395033</v>
      </c>
      <c r="AC52" s="7">
        <f t="shared" si="24"/>
        <v>1.1345715963395033</v>
      </c>
      <c r="AD52" s="2">
        <f t="shared" si="25"/>
        <v>0</v>
      </c>
      <c r="AE52" s="2"/>
      <c r="AG52">
        <f t="shared" si="26"/>
        <v>1997</v>
      </c>
      <c r="AH52" s="6">
        <f t="shared" si="5"/>
        <v>0.22704530054866032</v>
      </c>
      <c r="AI52" s="6">
        <f t="shared" si="5"/>
        <v>0.27141226704280236</v>
      </c>
      <c r="AJ52" s="7"/>
      <c r="AK52" s="7"/>
      <c r="AL52" s="6"/>
      <c r="AM52" s="6">
        <f t="shared" si="27"/>
        <v>0.12344452261694557</v>
      </c>
      <c r="AN52" s="6">
        <f t="shared" si="28"/>
        <v>0.37809790979159186</v>
      </c>
      <c r="AO52" s="6">
        <f t="shared" si="29"/>
        <v>1</v>
      </c>
      <c r="AP52" s="7">
        <f t="shared" si="30"/>
        <v>0.62190209020840825</v>
      </c>
      <c r="AQ52" s="7">
        <f t="shared" si="31"/>
        <v>0</v>
      </c>
      <c r="AR52" s="24"/>
      <c r="AS52">
        <f t="shared" si="32"/>
        <v>1997</v>
      </c>
      <c r="AT52" s="1" t="b">
        <f t="shared" si="33"/>
        <v>1</v>
      </c>
      <c r="AU52" s="1" t="b">
        <f t="shared" si="34"/>
        <v>1</v>
      </c>
      <c r="AX52" s="1"/>
      <c r="AY52" s="1" t="b">
        <f>AND((X52/$Z52)&gt;0.1,(X52/$Z52)&lt;0.2)</f>
        <v>1</v>
      </c>
      <c r="AZ52" s="1" t="b">
        <f t="shared" si="36"/>
        <v>1</v>
      </c>
      <c r="BA52" s="1" t="b">
        <f t="shared" si="37"/>
        <v>1</v>
      </c>
      <c r="BC52">
        <f t="shared" si="38"/>
        <v>1997</v>
      </c>
      <c r="BD52" s="2">
        <f t="shared" si="39"/>
        <v>50428.037759528845</v>
      </c>
      <c r="BE52" s="2">
        <f t="shared" si="39"/>
        <v>60282.190460491001</v>
      </c>
      <c r="BF52" s="2"/>
      <c r="BG52" s="2"/>
      <c r="BH52" s="2"/>
      <c r="BI52" s="2">
        <f>X52</f>
        <v>27417.72251040355</v>
      </c>
      <c r="BJ52" s="2">
        <f>Y52</f>
        <v>83977.671529400119</v>
      </c>
      <c r="BK52" s="2">
        <f t="shared" si="40"/>
        <v>222105.62225982349</v>
      </c>
      <c r="BL52" s="2">
        <f t="shared" si="41"/>
        <v>0</v>
      </c>
      <c r="BM52" s="2"/>
    </row>
    <row r="53" spans="1:65" x14ac:dyDescent="0.2">
      <c r="A53">
        <f t="shared" si="6"/>
        <v>1998</v>
      </c>
      <c r="B53" s="2">
        <f t="shared" si="9"/>
        <v>64880.713381409812</v>
      </c>
      <c r="C53" s="2">
        <f t="shared" si="10"/>
        <v>65317.561829655824</v>
      </c>
      <c r="D53" s="2"/>
      <c r="E53" s="2"/>
      <c r="F53" s="2"/>
      <c r="G53" s="2">
        <f t="shared" ref="G53:G73" si="43">BI52*(1+(G14/100))</f>
        <v>31695.709753701813</v>
      </c>
      <c r="H53" s="2">
        <f t="shared" si="12"/>
        <v>91182.955746622654</v>
      </c>
      <c r="I53" s="2">
        <f t="shared" si="42"/>
        <v>253076.94071139011</v>
      </c>
      <c r="J53" s="2">
        <f t="shared" si="13"/>
        <v>24095.502547954675</v>
      </c>
      <c r="K53" s="83">
        <f t="shared" si="14"/>
        <v>0.10522906459674045</v>
      </c>
      <c r="L53" s="7">
        <f t="shared" si="15"/>
        <v>1.1052290645967404</v>
      </c>
      <c r="N53">
        <f t="shared" si="16"/>
        <v>1998</v>
      </c>
      <c r="O53" s="2">
        <f t="shared" si="17"/>
        <v>6985.8289580697347</v>
      </c>
      <c r="P53" s="2"/>
      <c r="Q53" s="2"/>
      <c r="R53">
        <f t="shared" si="18"/>
        <v>1998</v>
      </c>
      <c r="S53" s="2">
        <f>B53-($O53/4)</f>
        <v>63134.25614189238</v>
      </c>
      <c r="T53" s="2">
        <f>C53-($O53/4)</f>
        <v>63571.104590138391</v>
      </c>
      <c r="U53" s="2"/>
      <c r="V53" s="2"/>
      <c r="W53" s="2"/>
      <c r="X53" s="2">
        <f>G53-($O53/4)</f>
        <v>29949.25251418438</v>
      </c>
      <c r="Y53" s="2">
        <f>H53-($O53/4)</f>
        <v>89436.498507105222</v>
      </c>
      <c r="Z53" s="2">
        <f t="shared" si="21"/>
        <v>246091.11175332038</v>
      </c>
      <c r="AA53" s="2">
        <f t="shared" si="22"/>
        <v>23985.489493496891</v>
      </c>
      <c r="AB53" s="83">
        <f t="shared" si="23"/>
        <v>0.10799136577208386</v>
      </c>
      <c r="AC53" s="7">
        <f t="shared" si="24"/>
        <v>1.1079913657720839</v>
      </c>
      <c r="AD53" s="2">
        <f t="shared" si="25"/>
        <v>0</v>
      </c>
      <c r="AE53" s="2"/>
      <c r="AG53">
        <f t="shared" si="26"/>
        <v>1998</v>
      </c>
      <c r="AH53" s="38">
        <f t="shared" si="5"/>
        <v>0.25654829909166982</v>
      </c>
      <c r="AI53" s="6">
        <f t="shared" si="5"/>
        <v>0.25832344832454379</v>
      </c>
      <c r="AJ53" s="7"/>
      <c r="AK53" s="7"/>
      <c r="AL53" s="7"/>
      <c r="AM53" s="6">
        <f t="shared" si="27"/>
        <v>0.12169985458152285</v>
      </c>
      <c r="AN53" s="6">
        <f t="shared" si="28"/>
        <v>0.36342839800226351</v>
      </c>
      <c r="AO53" s="6">
        <f t="shared" si="29"/>
        <v>1</v>
      </c>
      <c r="AP53" s="7">
        <f t="shared" si="30"/>
        <v>0.63657160199773655</v>
      </c>
      <c r="AQ53" s="7">
        <f t="shared" si="31"/>
        <v>0</v>
      </c>
      <c r="AR53" s="24"/>
      <c r="AS53">
        <f t="shared" si="32"/>
        <v>1998</v>
      </c>
      <c r="AT53" s="39" t="b">
        <f t="shared" si="33"/>
        <v>0</v>
      </c>
      <c r="AU53" s="1" t="b">
        <f t="shared" si="34"/>
        <v>1</v>
      </c>
      <c r="AY53" s="1" t="b">
        <f t="shared" ref="AY53:AY75" si="44">AND((X53/$Z53)&gt;0.1,(X53/$Z53)&lt;0.2)</f>
        <v>1</v>
      </c>
      <c r="AZ53" s="1" t="b">
        <f t="shared" si="36"/>
        <v>1</v>
      </c>
      <c r="BA53" s="1" t="b">
        <f t="shared" si="37"/>
        <v>1</v>
      </c>
      <c r="BC53">
        <f t="shared" si="38"/>
        <v>1998</v>
      </c>
      <c r="BD53" s="40">
        <f>$BK53*BD$42</f>
        <v>49218.22235066408</v>
      </c>
      <c r="BE53" s="40">
        <f>$BK53*BE$42</f>
        <v>61522.777938330095</v>
      </c>
      <c r="BF53" s="2"/>
      <c r="BG53" s="2"/>
      <c r="BH53" s="2"/>
      <c r="BI53" s="40">
        <f>$BK53*BI$42</f>
        <v>36913.666762998058</v>
      </c>
      <c r="BJ53" s="40">
        <f>$BK53*BJ$42</f>
        <v>98436.444701328161</v>
      </c>
      <c r="BK53" s="2">
        <f t="shared" si="40"/>
        <v>246091.11175332038</v>
      </c>
      <c r="BL53" s="2">
        <f t="shared" si="41"/>
        <v>0</v>
      </c>
      <c r="BM53" s="2"/>
    </row>
    <row r="54" spans="1:65" x14ac:dyDescent="0.2">
      <c r="A54">
        <f t="shared" si="6"/>
        <v>1999</v>
      </c>
      <c r="B54" s="2">
        <f t="shared" ref="B54:B73" si="45">BD53*(1+(B15/100))</f>
        <v>59588.501799949008</v>
      </c>
      <c r="C54" s="2"/>
      <c r="D54" s="2">
        <f>($BE53*0.6)*(1+(D15/100))</f>
        <v>42568.47137442173</v>
      </c>
      <c r="E54" s="2">
        <f>($BE53*0.4)*(1+(E15/100))</f>
        <v>30301.936863521601</v>
      </c>
      <c r="F54" s="2"/>
      <c r="G54" s="2">
        <f t="shared" si="43"/>
        <v>47957.866721819453</v>
      </c>
      <c r="H54" s="2">
        <f t="shared" si="12"/>
        <v>97688.327721598063</v>
      </c>
      <c r="I54" s="2">
        <f t="shared" si="42"/>
        <v>278105.10448130989</v>
      </c>
      <c r="J54" s="2">
        <f t="shared" si="13"/>
        <v>25028.163769919774</v>
      </c>
      <c r="K54" s="83">
        <f t="shared" si="14"/>
        <v>9.8895473050869487E-2</v>
      </c>
      <c r="L54" s="7">
        <f t="shared" si="15"/>
        <v>1.0988954730508695</v>
      </c>
      <c r="N54">
        <f t="shared" si="16"/>
        <v>1999</v>
      </c>
      <c r="O54" s="2">
        <f t="shared" si="17"/>
        <v>7174.4463399376173</v>
      </c>
      <c r="P54" s="2"/>
      <c r="Q54" s="2"/>
      <c r="R54">
        <f t="shared" si="18"/>
        <v>1999</v>
      </c>
      <c r="S54" s="2">
        <f>B54-($O54/5)</f>
        <v>58153.612531961488</v>
      </c>
      <c r="T54" s="2"/>
      <c r="U54" s="2">
        <f>D54-($O54/5)</f>
        <v>41133.582106434209</v>
      </c>
      <c r="V54" s="2">
        <f>E54-($O54/5)</f>
        <v>28867.047595534077</v>
      </c>
      <c r="W54" s="2"/>
      <c r="X54" s="2">
        <f>G54-($O54/5)</f>
        <v>46522.977453831933</v>
      </c>
      <c r="Y54" s="2">
        <f>H54-($O54/5)</f>
        <v>96253.438453610535</v>
      </c>
      <c r="Z54" s="2">
        <f t="shared" si="21"/>
        <v>270930.65814137226</v>
      </c>
      <c r="AA54" s="2">
        <f t="shared" si="22"/>
        <v>24839.54638805188</v>
      </c>
      <c r="AB54" s="83">
        <f t="shared" si="23"/>
        <v>0.10093638169651097</v>
      </c>
      <c r="AC54" s="7">
        <f t="shared" si="24"/>
        <v>1.100936381696511</v>
      </c>
      <c r="AD54" s="2">
        <f t="shared" si="25"/>
        <v>0</v>
      </c>
      <c r="AE54" s="2"/>
      <c r="AG54">
        <f t="shared" si="26"/>
        <v>1999</v>
      </c>
      <c r="AH54" s="6">
        <f t="shared" si="5"/>
        <v>0.21464389792910329</v>
      </c>
      <c r="AI54" s="7"/>
      <c r="AJ54" s="6">
        <f t="shared" ref="AJ54:AK69" si="46">U54/$Z54</f>
        <v>0.15182328345052265</v>
      </c>
      <c r="AK54" s="6">
        <f t="shared" si="46"/>
        <v>0.10654773362884308</v>
      </c>
      <c r="AL54" s="7"/>
      <c r="AM54" s="6">
        <f t="shared" si="27"/>
        <v>0.17171544103936784</v>
      </c>
      <c r="AN54" s="6">
        <f t="shared" si="28"/>
        <v>0.35526964395216309</v>
      </c>
      <c r="AO54" s="6">
        <f t="shared" si="29"/>
        <v>1</v>
      </c>
      <c r="AP54" s="7">
        <f t="shared" si="30"/>
        <v>0.64473035604783691</v>
      </c>
      <c r="AQ54" s="7">
        <f t="shared" si="31"/>
        <v>0</v>
      </c>
      <c r="AR54" s="24"/>
      <c r="AS54">
        <f t="shared" si="32"/>
        <v>1999</v>
      </c>
      <c r="AT54" s="1" t="b">
        <f t="shared" si="33"/>
        <v>1</v>
      </c>
      <c r="AV54" s="1" t="b">
        <f>AND((U54/$Z54)&gt;0.1,(U54/$Z54)&lt;0.2)</f>
        <v>1</v>
      </c>
      <c r="AW54" s="1" t="b">
        <f>AND((V54/$Z54)&gt;0.05,(V54/$Z54)&lt;0.15)</f>
        <v>1</v>
      </c>
      <c r="AY54" s="1" t="b">
        <f t="shared" si="44"/>
        <v>1</v>
      </c>
      <c r="AZ54" s="1" t="b">
        <f t="shared" si="36"/>
        <v>1</v>
      </c>
      <c r="BA54" s="1" t="b">
        <f t="shared" si="37"/>
        <v>1</v>
      </c>
      <c r="BC54">
        <f t="shared" si="38"/>
        <v>1999</v>
      </c>
      <c r="BD54" s="2">
        <f t="shared" si="39"/>
        <v>58153.612531961488</v>
      </c>
      <c r="BE54" s="2"/>
      <c r="BF54" s="2">
        <f t="shared" ref="BF54:BG67" si="47">U54</f>
        <v>41133.582106434209</v>
      </c>
      <c r="BG54" s="2">
        <f t="shared" si="47"/>
        <v>28867.047595534077</v>
      </c>
      <c r="BH54" s="2"/>
      <c r="BI54" s="2">
        <f>X54</f>
        <v>46522.977453831933</v>
      </c>
      <c r="BJ54" s="2">
        <f t="shared" ref="BJ54:BJ56" si="48">Y54</f>
        <v>96253.438453610535</v>
      </c>
      <c r="BK54" s="2">
        <f t="shared" si="40"/>
        <v>270930.65814137226</v>
      </c>
      <c r="BL54" s="2">
        <f t="shared" si="41"/>
        <v>0</v>
      </c>
      <c r="BM54" s="2"/>
    </row>
    <row r="55" spans="1:65" x14ac:dyDescent="0.2">
      <c r="A55">
        <f t="shared" si="6"/>
        <v>2000</v>
      </c>
      <c r="B55" s="2">
        <f t="shared" si="45"/>
        <v>52884.895236565775</v>
      </c>
      <c r="C55" s="2"/>
      <c r="D55" s="2">
        <f t="shared" ref="D55:D73" si="49">BF54*(1+(D16/100))</f>
        <v>48577.937796056671</v>
      </c>
      <c r="E55" s="2">
        <f t="shared" ref="E55:E73" si="50">BG54*(1+(E16/100))</f>
        <v>28097.740777113097</v>
      </c>
      <c r="F55" s="2"/>
      <c r="G55" s="2">
        <f t="shared" si="43"/>
        <v>39258.879754190617</v>
      </c>
      <c r="H55" s="2">
        <f t="shared" si="12"/>
        <v>107216.70509347679</v>
      </c>
      <c r="I55" s="2">
        <f t="shared" si="42"/>
        <v>276036.15865740296</v>
      </c>
      <c r="J55" s="2">
        <f t="shared" si="13"/>
        <v>-2068.9458239069209</v>
      </c>
      <c r="K55" s="83">
        <f t="shared" si="14"/>
        <v>-7.4394385092847685E-3</v>
      </c>
      <c r="L55" s="7">
        <f t="shared" si="15"/>
        <v>0.99256056149071525</v>
      </c>
      <c r="N55">
        <f t="shared" si="16"/>
        <v>2000</v>
      </c>
      <c r="O55" s="2">
        <f t="shared" si="17"/>
        <v>7418.3775154954965</v>
      </c>
      <c r="P55" s="2"/>
      <c r="Q55" s="2"/>
      <c r="R55">
        <f t="shared" si="18"/>
        <v>2000</v>
      </c>
      <c r="S55" s="2">
        <f t="shared" ref="S55:S72" si="51">B55-($O55/5)</f>
        <v>51401.219733466678</v>
      </c>
      <c r="T55" s="2"/>
      <c r="U55" s="2">
        <f t="shared" ref="U55:V70" si="52">D55-($O55/5)</f>
        <v>47094.262292957574</v>
      </c>
      <c r="V55" s="2">
        <f t="shared" si="52"/>
        <v>26614.065274013996</v>
      </c>
      <c r="W55" s="2"/>
      <c r="X55" s="2">
        <f t="shared" ref="X55:Y70" si="53">G55-($O55/5)</f>
        <v>37775.20425109152</v>
      </c>
      <c r="Y55" s="2">
        <f t="shared" si="53"/>
        <v>105733.02959037769</v>
      </c>
      <c r="Z55" s="2">
        <f t="shared" si="21"/>
        <v>268617.78114190744</v>
      </c>
      <c r="AA55" s="2">
        <f t="shared" si="22"/>
        <v>-2312.8769994648173</v>
      </c>
      <c r="AB55" s="83">
        <f t="shared" si="23"/>
        <v>-8.5367858157195057E-3</v>
      </c>
      <c r="AC55" s="7">
        <f t="shared" si="24"/>
        <v>0.99146321418428052</v>
      </c>
      <c r="AD55" s="2">
        <f t="shared" si="25"/>
        <v>0</v>
      </c>
      <c r="AE55" s="2"/>
      <c r="AG55">
        <f t="shared" si="26"/>
        <v>2000</v>
      </c>
      <c r="AH55" s="6">
        <f t="shared" si="5"/>
        <v>0.1913544945347905</v>
      </c>
      <c r="AI55" s="7"/>
      <c r="AJ55" s="6">
        <f t="shared" si="46"/>
        <v>0.17532071813249867</v>
      </c>
      <c r="AK55" s="6">
        <f t="shared" si="46"/>
        <v>9.9077824114532892E-2</v>
      </c>
      <c r="AL55" s="7"/>
      <c r="AM55" s="6">
        <f t="shared" si="27"/>
        <v>0.14062808534307469</v>
      </c>
      <c r="AN55" s="6">
        <f t="shared" si="28"/>
        <v>0.3936188778751033</v>
      </c>
      <c r="AO55" s="6">
        <f t="shared" si="29"/>
        <v>1</v>
      </c>
      <c r="AP55" s="7">
        <f t="shared" si="30"/>
        <v>0.60638112212489681</v>
      </c>
      <c r="AQ55" s="7">
        <f t="shared" si="31"/>
        <v>0</v>
      </c>
      <c r="AR55" s="24"/>
      <c r="AS55">
        <f t="shared" si="32"/>
        <v>2000</v>
      </c>
      <c r="AT55" s="1" t="b">
        <f t="shared" si="33"/>
        <v>1</v>
      </c>
      <c r="AV55" s="1" t="b">
        <f t="shared" ref="AV55:AV75" si="54">AND((U55/$Z55)&gt;0.1,(U55/$Z55)&lt;0.2)</f>
        <v>1</v>
      </c>
      <c r="AW55" s="1" t="b">
        <f t="shared" ref="AW55:AW72" si="55">AND((V55/$Z55)&gt;0.05,(V55/$Z55)&lt;0.15)</f>
        <v>1</v>
      </c>
      <c r="AY55" s="1" t="b">
        <f t="shared" si="44"/>
        <v>1</v>
      </c>
      <c r="AZ55" s="1" t="b">
        <f t="shared" si="36"/>
        <v>1</v>
      </c>
      <c r="BA55" s="1" t="b">
        <f t="shared" si="37"/>
        <v>1</v>
      </c>
      <c r="BC55">
        <f t="shared" si="38"/>
        <v>2000</v>
      </c>
      <c r="BD55" s="2">
        <f t="shared" si="39"/>
        <v>51401.219733466678</v>
      </c>
      <c r="BE55" s="2"/>
      <c r="BF55" s="2">
        <f t="shared" si="47"/>
        <v>47094.262292957574</v>
      </c>
      <c r="BG55" s="2">
        <f t="shared" si="47"/>
        <v>26614.065274013996</v>
      </c>
      <c r="BH55" s="2"/>
      <c r="BI55" s="2">
        <f>X55</f>
        <v>37775.20425109152</v>
      </c>
      <c r="BJ55" s="2">
        <f t="shared" si="48"/>
        <v>105733.02959037769</v>
      </c>
      <c r="BK55" s="2">
        <f t="shared" si="40"/>
        <v>268617.78114190744</v>
      </c>
      <c r="BL55" s="2">
        <f t="shared" si="41"/>
        <v>0</v>
      </c>
      <c r="BM55" s="2"/>
    </row>
    <row r="56" spans="1:65" x14ac:dyDescent="0.2">
      <c r="A56">
        <f t="shared" si="6"/>
        <v>2001</v>
      </c>
      <c r="B56" s="2">
        <f t="shared" si="45"/>
        <v>45222.793121503986</v>
      </c>
      <c r="C56" s="2"/>
      <c r="D56" s="2">
        <f t="shared" si="49"/>
        <v>46859.261924115715</v>
      </c>
      <c r="E56" s="2">
        <f t="shared" si="50"/>
        <v>27439.101297508427</v>
      </c>
      <c r="F56" s="2"/>
      <c r="G56" s="2">
        <f t="shared" si="43"/>
        <v>30162.367338369048</v>
      </c>
      <c r="H56" s="2">
        <f t="shared" si="12"/>
        <v>114646.32398484653</v>
      </c>
      <c r="I56" s="2">
        <f t="shared" si="42"/>
        <v>264329.84766634367</v>
      </c>
      <c r="J56" s="2">
        <f t="shared" si="13"/>
        <v>-11706.31099105929</v>
      </c>
      <c r="K56" s="83">
        <f t="shared" si="14"/>
        <v>-4.2408614320663535E-2</v>
      </c>
      <c r="L56" s="7">
        <f t="shared" si="15"/>
        <v>0.95759138567933644</v>
      </c>
      <c r="N56">
        <f t="shared" si="16"/>
        <v>2001</v>
      </c>
      <c r="O56" s="2">
        <f t="shared" si="17"/>
        <v>7537.0715557434241</v>
      </c>
      <c r="P56" s="2"/>
      <c r="Q56" s="2"/>
      <c r="R56">
        <f t="shared" si="18"/>
        <v>2001</v>
      </c>
      <c r="S56" s="2">
        <f t="shared" si="51"/>
        <v>43715.378810355302</v>
      </c>
      <c r="T56" s="2"/>
      <c r="U56" s="2">
        <f t="shared" si="52"/>
        <v>45351.847612967031</v>
      </c>
      <c r="V56" s="2">
        <f t="shared" si="52"/>
        <v>25931.686986359742</v>
      </c>
      <c r="W56" s="2"/>
      <c r="X56" s="2">
        <f t="shared" si="53"/>
        <v>28654.953027220363</v>
      </c>
      <c r="Y56" s="2">
        <f t="shared" si="53"/>
        <v>113138.90967369784</v>
      </c>
      <c r="Z56" s="2">
        <f t="shared" si="21"/>
        <v>256792.77611060027</v>
      </c>
      <c r="AA56" s="2">
        <f t="shared" si="22"/>
        <v>-11825.00503130717</v>
      </c>
      <c r="AB56" s="83">
        <f t="shared" si="23"/>
        <v>-4.4021676379867668E-2</v>
      </c>
      <c r="AC56" s="7">
        <f t="shared" si="24"/>
        <v>0.95597832362013235</v>
      </c>
      <c r="AD56" s="2">
        <f t="shared" si="25"/>
        <v>0</v>
      </c>
      <c r="AE56" s="2"/>
      <c r="AG56">
        <f t="shared" si="26"/>
        <v>2001</v>
      </c>
      <c r="AH56" s="6">
        <f t="shared" si="5"/>
        <v>0.1702360147059867</v>
      </c>
      <c r="AI56" s="7"/>
      <c r="AJ56" s="6">
        <f t="shared" si="46"/>
        <v>0.17660873603949848</v>
      </c>
      <c r="AK56" s="6">
        <f t="shared" si="46"/>
        <v>0.10098293020202018</v>
      </c>
      <c r="AL56" s="7"/>
      <c r="AM56" s="6">
        <f t="shared" si="27"/>
        <v>0.11158784706186095</v>
      </c>
      <c r="AN56" s="59">
        <f t="shared" si="28"/>
        <v>0.44058447199063372</v>
      </c>
      <c r="AO56" s="6">
        <f t="shared" si="29"/>
        <v>1</v>
      </c>
      <c r="AP56" s="7">
        <f t="shared" si="30"/>
        <v>0.55941552800936634</v>
      </c>
      <c r="AQ56" s="7">
        <f t="shared" si="31"/>
        <v>0</v>
      </c>
      <c r="AR56" s="24"/>
      <c r="AS56">
        <f t="shared" si="32"/>
        <v>2001</v>
      </c>
      <c r="AT56" s="1" t="b">
        <f t="shared" si="33"/>
        <v>1</v>
      </c>
      <c r="AV56" s="1" t="b">
        <f t="shared" si="54"/>
        <v>1</v>
      </c>
      <c r="AW56" s="1" t="b">
        <f t="shared" si="55"/>
        <v>1</v>
      </c>
      <c r="AY56" s="1" t="b">
        <f t="shared" si="44"/>
        <v>1</v>
      </c>
      <c r="AZ56" s="1" t="b">
        <f t="shared" si="36"/>
        <v>1</v>
      </c>
      <c r="BA56" s="1" t="b">
        <f t="shared" si="37"/>
        <v>1</v>
      </c>
      <c r="BC56">
        <f t="shared" si="38"/>
        <v>2001</v>
      </c>
      <c r="BD56" s="2">
        <f t="shared" si="39"/>
        <v>43715.378810355302</v>
      </c>
      <c r="BE56" s="2"/>
      <c r="BF56" s="2">
        <f t="shared" si="47"/>
        <v>45351.847612967031</v>
      </c>
      <c r="BG56" s="2">
        <f t="shared" si="47"/>
        <v>25931.686986359742</v>
      </c>
      <c r="BH56" s="2"/>
      <c r="BI56" s="2">
        <f>X56</f>
        <v>28654.953027220363</v>
      </c>
      <c r="BJ56" s="2">
        <f t="shared" si="48"/>
        <v>113138.90967369784</v>
      </c>
      <c r="BK56" s="2">
        <f t="shared" si="40"/>
        <v>256792.77611060027</v>
      </c>
      <c r="BL56" s="2">
        <f t="shared" si="41"/>
        <v>0</v>
      </c>
      <c r="BM56" s="2"/>
    </row>
    <row r="57" spans="1:65" x14ac:dyDescent="0.2">
      <c r="A57">
        <f t="shared" si="6"/>
        <v>2002</v>
      </c>
      <c r="B57" s="2">
        <f t="shared" si="45"/>
        <v>34032.422403861601</v>
      </c>
      <c r="C57" s="2"/>
      <c r="D57" s="2">
        <f t="shared" si="49"/>
        <v>38726.849713664807</v>
      </c>
      <c r="E57" s="2">
        <f t="shared" si="50"/>
        <v>20739.644617950795</v>
      </c>
      <c r="F57" s="2"/>
      <c r="G57" s="2">
        <f t="shared" si="43"/>
        <v>24332.926462124717</v>
      </c>
      <c r="H57" s="2">
        <f t="shared" si="12"/>
        <v>122484.18361274528</v>
      </c>
      <c r="I57" s="2">
        <f t="shared" si="42"/>
        <v>240316.02681034722</v>
      </c>
      <c r="J57" s="2">
        <f t="shared" si="13"/>
        <v>-24013.820855996455</v>
      </c>
      <c r="K57" s="83">
        <f t="shared" si="14"/>
        <v>-9.0847935138631958E-2</v>
      </c>
      <c r="L57" s="7">
        <f t="shared" si="15"/>
        <v>0.90915206486136801</v>
      </c>
      <c r="N57">
        <f t="shared" si="16"/>
        <v>2002</v>
      </c>
      <c r="O57" s="2">
        <f t="shared" si="17"/>
        <v>7725.4983446370088</v>
      </c>
      <c r="P57" s="2"/>
      <c r="Q57" s="2"/>
      <c r="R57">
        <f t="shared" si="18"/>
        <v>2002</v>
      </c>
      <c r="S57" s="2">
        <f t="shared" si="51"/>
        <v>32487.322734934198</v>
      </c>
      <c r="T57" s="2"/>
      <c r="U57" s="2">
        <f t="shared" si="52"/>
        <v>37181.750044737404</v>
      </c>
      <c r="V57" s="2">
        <f t="shared" si="52"/>
        <v>19194.544949023391</v>
      </c>
      <c r="W57" s="2"/>
      <c r="X57" s="2">
        <f t="shared" si="53"/>
        <v>22787.826793197313</v>
      </c>
      <c r="Y57" s="2">
        <f t="shared" si="53"/>
        <v>120939.08394381788</v>
      </c>
      <c r="Z57" s="2">
        <f t="shared" si="21"/>
        <v>232590.52846571017</v>
      </c>
      <c r="AA57" s="2">
        <f t="shared" si="22"/>
        <v>-24202.2476448901</v>
      </c>
      <c r="AB57" s="83">
        <f t="shared" si="23"/>
        <v>-9.4248163875397445E-2</v>
      </c>
      <c r="AC57" s="7">
        <f t="shared" si="24"/>
        <v>0.90575183612460253</v>
      </c>
      <c r="AD57" s="2">
        <f t="shared" si="25"/>
        <v>0</v>
      </c>
      <c r="AE57" s="2"/>
      <c r="AG57">
        <f t="shared" si="26"/>
        <v>2002</v>
      </c>
      <c r="AH57" s="6">
        <f t="shared" si="5"/>
        <v>0.13967603474327916</v>
      </c>
      <c r="AI57" s="7"/>
      <c r="AJ57" s="6">
        <f t="shared" si="46"/>
        <v>0.1598592612089918</v>
      </c>
      <c r="AK57" s="6">
        <f t="shared" si="46"/>
        <v>8.2525049818841442E-2</v>
      </c>
      <c r="AL57" s="7"/>
      <c r="AM57" s="38">
        <f t="shared" si="27"/>
        <v>9.7974010134969119E-2</v>
      </c>
      <c r="AN57" s="38">
        <f t="shared" si="28"/>
        <v>0.51996564409391854</v>
      </c>
      <c r="AO57" s="6">
        <f t="shared" si="29"/>
        <v>1</v>
      </c>
      <c r="AP57" s="7">
        <f t="shared" si="30"/>
        <v>0.48003435590608157</v>
      </c>
      <c r="AQ57" s="7">
        <f t="shared" si="31"/>
        <v>0</v>
      </c>
      <c r="AR57" s="24"/>
      <c r="AS57">
        <f t="shared" si="32"/>
        <v>2002</v>
      </c>
      <c r="AT57" s="39" t="b">
        <f t="shared" si="33"/>
        <v>0</v>
      </c>
      <c r="AV57" s="1" t="b">
        <f t="shared" si="54"/>
        <v>1</v>
      </c>
      <c r="AW57" s="1" t="b">
        <f t="shared" si="55"/>
        <v>1</v>
      </c>
      <c r="AY57" s="39" t="b">
        <f t="shared" si="44"/>
        <v>0</v>
      </c>
      <c r="AZ57" s="39" t="b">
        <f t="shared" si="36"/>
        <v>0</v>
      </c>
      <c r="BA57" s="1" t="b">
        <f t="shared" si="37"/>
        <v>1</v>
      </c>
      <c r="BC57">
        <f t="shared" si="38"/>
        <v>2002</v>
      </c>
      <c r="BD57" s="40">
        <f>$BK57*BD$42</f>
        <v>46518.105693142039</v>
      </c>
      <c r="BE57" s="2"/>
      <c r="BF57" s="40">
        <f t="shared" ref="BF57:BG58" si="56">$BK57*BF$42</f>
        <v>34888.579269856527</v>
      </c>
      <c r="BG57" s="40">
        <f t="shared" si="56"/>
        <v>23259.052846571019</v>
      </c>
      <c r="BH57" s="2"/>
      <c r="BI57" s="40">
        <f>$BK57*BI$42</f>
        <v>34888.579269856527</v>
      </c>
      <c r="BJ57" s="40">
        <f t="shared" ref="BJ57:BJ58" si="57">$BK57*BJ$42</f>
        <v>93036.211386284078</v>
      </c>
      <c r="BK57" s="2">
        <f t="shared" si="40"/>
        <v>232590.52846571017</v>
      </c>
      <c r="BL57" s="2">
        <f t="shared" si="41"/>
        <v>0</v>
      </c>
      <c r="BM57" s="2"/>
    </row>
    <row r="58" spans="1:65" x14ac:dyDescent="0.2">
      <c r="A58">
        <f t="shared" si="6"/>
        <v>2003</v>
      </c>
      <c r="B58" s="2">
        <f t="shared" si="45"/>
        <v>59775.765815687519</v>
      </c>
      <c r="C58" s="2"/>
      <c r="D58" s="2">
        <f t="shared" si="49"/>
        <v>46800.238004170948</v>
      </c>
      <c r="E58" s="2">
        <f t="shared" si="50"/>
        <v>33871.693479404443</v>
      </c>
      <c r="F58" s="2"/>
      <c r="G58" s="2">
        <f t="shared" si="43"/>
        <v>48962.632147316646</v>
      </c>
      <c r="H58" s="2">
        <f t="shared" si="12"/>
        <v>96729.748978319563</v>
      </c>
      <c r="I58" s="2">
        <f t="shared" si="42"/>
        <v>286140.07842489914</v>
      </c>
      <c r="J58" s="2">
        <f t="shared" si="13"/>
        <v>45824.051614551921</v>
      </c>
      <c r="K58" s="83">
        <f t="shared" si="14"/>
        <v>0.19068246185143273</v>
      </c>
      <c r="L58" s="7">
        <f t="shared" si="15"/>
        <v>1.1906824618514327</v>
      </c>
      <c r="N58">
        <f t="shared" si="16"/>
        <v>2003</v>
      </c>
      <c r="O58" s="2">
        <f t="shared" si="17"/>
        <v>7880.0083115297493</v>
      </c>
      <c r="P58" s="2"/>
      <c r="Q58" s="2"/>
      <c r="R58">
        <f t="shared" si="18"/>
        <v>2003</v>
      </c>
      <c r="S58" s="2">
        <f t="shared" si="51"/>
        <v>58199.764153381569</v>
      </c>
      <c r="T58" s="2"/>
      <c r="U58" s="2">
        <f t="shared" si="52"/>
        <v>45224.236341864998</v>
      </c>
      <c r="V58" s="2">
        <f t="shared" si="52"/>
        <v>32295.691817098494</v>
      </c>
      <c r="W58" s="2"/>
      <c r="X58" s="2">
        <f t="shared" si="53"/>
        <v>47386.630485010697</v>
      </c>
      <c r="Y58" s="2">
        <f t="shared" si="53"/>
        <v>95153.747316013614</v>
      </c>
      <c r="Z58" s="2">
        <f t="shared" si="21"/>
        <v>278260.07011336938</v>
      </c>
      <c r="AA58" s="2">
        <f t="shared" si="22"/>
        <v>45669.541647659207</v>
      </c>
      <c r="AB58" s="83">
        <f t="shared" si="23"/>
        <v>0.19635168271433751</v>
      </c>
      <c r="AC58" s="7">
        <f t="shared" si="24"/>
        <v>1.1963516827143374</v>
      </c>
      <c r="AD58" s="2">
        <f t="shared" si="25"/>
        <v>0</v>
      </c>
      <c r="AE58" s="2"/>
      <c r="AG58">
        <f t="shared" si="26"/>
        <v>2003</v>
      </c>
      <c r="AH58" s="6">
        <f t="shared" ref="AH58:AH72" si="58">S58/$Z58</f>
        <v>0.20915600333770376</v>
      </c>
      <c r="AI58" s="7"/>
      <c r="AJ58" s="6">
        <f t="shared" si="46"/>
        <v>0.16252506629298136</v>
      </c>
      <c r="AK58" s="6">
        <f t="shared" si="46"/>
        <v>0.11606297592011856</v>
      </c>
      <c r="AL58" s="7"/>
      <c r="AM58" s="6">
        <f t="shared" si="27"/>
        <v>0.17029619257159076</v>
      </c>
      <c r="AN58" s="38">
        <f t="shared" si="28"/>
        <v>0.34195976187760552</v>
      </c>
      <c r="AO58" s="6">
        <f t="shared" si="29"/>
        <v>1</v>
      </c>
      <c r="AP58" s="7">
        <f t="shared" si="30"/>
        <v>0.65804023812239443</v>
      </c>
      <c r="AQ58" s="7">
        <f t="shared" si="31"/>
        <v>0</v>
      </c>
      <c r="AR58" s="24"/>
      <c r="AS58">
        <f t="shared" si="32"/>
        <v>2003</v>
      </c>
      <c r="AT58" s="1" t="b">
        <f t="shared" si="33"/>
        <v>1</v>
      </c>
      <c r="AV58" s="1" t="b">
        <f t="shared" si="54"/>
        <v>1</v>
      </c>
      <c r="AW58" s="1" t="b">
        <f t="shared" si="55"/>
        <v>1</v>
      </c>
      <c r="AY58" s="1" t="b">
        <f t="shared" si="44"/>
        <v>1</v>
      </c>
      <c r="AZ58" s="39" t="b">
        <f t="shared" si="36"/>
        <v>0</v>
      </c>
      <c r="BA58" s="1" t="b">
        <f t="shared" si="37"/>
        <v>1</v>
      </c>
      <c r="BC58">
        <f t="shared" si="38"/>
        <v>2003</v>
      </c>
      <c r="BD58" s="40">
        <f>$BK58*BD$42</f>
        <v>55652.01402267388</v>
      </c>
      <c r="BE58" s="2"/>
      <c r="BF58" s="40">
        <f t="shared" si="56"/>
        <v>41739.010517005408</v>
      </c>
      <c r="BG58" s="40">
        <f t="shared" si="56"/>
        <v>27826.00701133694</v>
      </c>
      <c r="BH58" s="2"/>
      <c r="BI58" s="40">
        <f>$BK58*BI$42</f>
        <v>41739.010517005408</v>
      </c>
      <c r="BJ58" s="40">
        <f t="shared" si="57"/>
        <v>111304.02804534776</v>
      </c>
      <c r="BK58" s="2">
        <f t="shared" si="40"/>
        <v>278260.07011336938</v>
      </c>
      <c r="BL58" s="2">
        <f t="shared" si="41"/>
        <v>0</v>
      </c>
      <c r="BM58" s="2"/>
    </row>
    <row r="59" spans="1:65" x14ac:dyDescent="0.2">
      <c r="A59">
        <f t="shared" si="6"/>
        <v>2004</v>
      </c>
      <c r="B59" s="2">
        <f t="shared" si="45"/>
        <v>61629.040328709052</v>
      </c>
      <c r="C59" s="2"/>
      <c r="D59" s="2">
        <f t="shared" si="49"/>
        <v>50234.151327531516</v>
      </c>
      <c r="E59" s="2">
        <f t="shared" si="50"/>
        <v>33362.547626382657</v>
      </c>
      <c r="F59" s="2"/>
      <c r="G59" s="2">
        <f t="shared" si="43"/>
        <v>50436.168138433823</v>
      </c>
      <c r="H59" s="2">
        <f t="shared" si="12"/>
        <v>116023.31883447051</v>
      </c>
      <c r="I59" s="2">
        <f t="shared" si="42"/>
        <v>311685.22625552758</v>
      </c>
      <c r="J59" s="2">
        <f>I59-I58</f>
        <v>25545.147830628441</v>
      </c>
      <c r="K59" s="83">
        <f>(J59/I58)</f>
        <v>8.9274973192310314E-2</v>
      </c>
      <c r="L59" s="7">
        <f t="shared" si="15"/>
        <v>1.0892749731923104</v>
      </c>
      <c r="N59">
        <f t="shared" si="16"/>
        <v>2004</v>
      </c>
      <c r="O59" s="2">
        <f t="shared" si="17"/>
        <v>8140.0485858102302</v>
      </c>
      <c r="P59" s="2"/>
      <c r="Q59" s="2"/>
      <c r="R59">
        <f t="shared" si="18"/>
        <v>2004</v>
      </c>
      <c r="S59" s="2">
        <f t="shared" si="51"/>
        <v>60001.030611547008</v>
      </c>
      <c r="T59" s="2"/>
      <c r="U59" s="2">
        <f t="shared" si="52"/>
        <v>48606.141610369472</v>
      </c>
      <c r="V59" s="2">
        <f t="shared" si="52"/>
        <v>31734.537909220609</v>
      </c>
      <c r="W59" s="2"/>
      <c r="X59" s="2">
        <f t="shared" si="53"/>
        <v>48808.158421271779</v>
      </c>
      <c r="Y59" s="2">
        <f t="shared" si="53"/>
        <v>114395.30911730847</v>
      </c>
      <c r="Z59" s="2">
        <f t="shared" si="21"/>
        <v>303545.17766971735</v>
      </c>
      <c r="AA59" s="2">
        <f>Z59-Z58</f>
        <v>25285.107556347968</v>
      </c>
      <c r="AB59" s="83">
        <f>(AA59/Z58)</f>
        <v>9.0868616348893497E-2</v>
      </c>
      <c r="AC59" s="7">
        <f t="shared" si="24"/>
        <v>1.0908686163488934</v>
      </c>
      <c r="AD59" s="2">
        <f t="shared" si="25"/>
        <v>0</v>
      </c>
      <c r="AE59" s="2"/>
      <c r="AG59">
        <f t="shared" si="26"/>
        <v>2004</v>
      </c>
      <c r="AH59" s="6">
        <f t="shared" si="58"/>
        <v>0.19766754679540049</v>
      </c>
      <c r="AI59" s="7"/>
      <c r="AJ59" s="6">
        <f t="shared" si="46"/>
        <v>0.16012819568906819</v>
      </c>
      <c r="AK59" s="6">
        <f t="shared" si="46"/>
        <v>0.10454634184223625</v>
      </c>
      <c r="AL59" s="7"/>
      <c r="AM59" s="6">
        <f t="shared" si="27"/>
        <v>0.16079372038115247</v>
      </c>
      <c r="AN59" s="6">
        <f t="shared" si="28"/>
        <v>0.37686419529214255</v>
      </c>
      <c r="AO59" s="6">
        <f t="shared" si="29"/>
        <v>1</v>
      </c>
      <c r="AP59" s="7">
        <f t="shared" si="30"/>
        <v>0.62313580470785745</v>
      </c>
      <c r="AQ59" s="7">
        <f t="shared" si="31"/>
        <v>0</v>
      </c>
      <c r="AR59" s="24"/>
      <c r="AS59">
        <f t="shared" si="32"/>
        <v>2004</v>
      </c>
      <c r="AT59" s="1" t="b">
        <f t="shared" si="33"/>
        <v>1</v>
      </c>
      <c r="AV59" s="1" t="b">
        <f t="shared" si="54"/>
        <v>1</v>
      </c>
      <c r="AW59" s="1" t="b">
        <f t="shared" si="55"/>
        <v>1</v>
      </c>
      <c r="AY59" s="1" t="b">
        <f t="shared" si="44"/>
        <v>1</v>
      </c>
      <c r="AZ59" s="1" t="b">
        <f t="shared" si="36"/>
        <v>1</v>
      </c>
      <c r="BA59" s="1" t="b">
        <f t="shared" si="37"/>
        <v>1</v>
      </c>
      <c r="BC59">
        <f t="shared" si="38"/>
        <v>2004</v>
      </c>
      <c r="BD59" s="2">
        <f t="shared" si="39"/>
        <v>60001.030611547008</v>
      </c>
      <c r="BE59" s="2"/>
      <c r="BF59" s="2">
        <f t="shared" si="47"/>
        <v>48606.141610369472</v>
      </c>
      <c r="BG59" s="2">
        <f t="shared" si="47"/>
        <v>31734.537909220609</v>
      </c>
      <c r="BH59" s="2"/>
      <c r="BI59" s="2">
        <f>X59</f>
        <v>48808.158421271779</v>
      </c>
      <c r="BJ59" s="2">
        <f>Y59</f>
        <v>114395.30911730847</v>
      </c>
      <c r="BK59" s="2">
        <f t="shared" si="40"/>
        <v>303545.17766971735</v>
      </c>
      <c r="BL59" s="2">
        <f t="shared" si="41"/>
        <v>0</v>
      </c>
      <c r="BM59" s="2"/>
    </row>
    <row r="60" spans="1:65" x14ac:dyDescent="0.2">
      <c r="A60">
        <f t="shared" si="6"/>
        <v>2005</v>
      </c>
      <c r="B60" s="2">
        <f t="shared" si="45"/>
        <v>62863.079771717807</v>
      </c>
      <c r="C60" s="2"/>
      <c r="D60" s="2">
        <f t="shared" si="49"/>
        <v>55377.463198110047</v>
      </c>
      <c r="E60" s="2">
        <f t="shared" si="50"/>
        <v>34071.151935476526</v>
      </c>
      <c r="F60" s="2"/>
      <c r="G60" s="2">
        <f t="shared" si="43"/>
        <v>56408.076769048006</v>
      </c>
      <c r="H60" s="2">
        <f t="shared" si="12"/>
        <v>117140.79653612387</v>
      </c>
      <c r="I60" s="2">
        <f t="shared" si="42"/>
        <v>325860.56821047625</v>
      </c>
      <c r="J60" s="2">
        <f t="shared" si="13"/>
        <v>14175.341954948672</v>
      </c>
      <c r="K60" s="83">
        <f t="shared" si="14"/>
        <v>4.5479672313141213E-2</v>
      </c>
      <c r="L60" s="7">
        <f t="shared" si="15"/>
        <v>1.0454796723131412</v>
      </c>
      <c r="N60">
        <f t="shared" si="16"/>
        <v>2005</v>
      </c>
      <c r="O60" s="2">
        <f t="shared" si="17"/>
        <v>8408.6701891419671</v>
      </c>
      <c r="P60" s="2"/>
      <c r="Q60" s="2"/>
      <c r="R60">
        <f t="shared" si="18"/>
        <v>2005</v>
      </c>
      <c r="S60" s="2">
        <f t="shared" si="51"/>
        <v>61181.345733889415</v>
      </c>
      <c r="T60" s="2"/>
      <c r="U60" s="2">
        <f t="shared" si="52"/>
        <v>53695.729160281655</v>
      </c>
      <c r="V60" s="2">
        <f t="shared" si="52"/>
        <v>32389.417897648134</v>
      </c>
      <c r="W60" s="2"/>
      <c r="X60" s="2">
        <f t="shared" si="53"/>
        <v>54726.342731219615</v>
      </c>
      <c r="Y60" s="2">
        <f t="shared" si="53"/>
        <v>115459.06249829548</v>
      </c>
      <c r="Z60" s="2">
        <f t="shared" si="21"/>
        <v>317451.89802133432</v>
      </c>
      <c r="AA60" s="2">
        <f t="shared" ref="AA60:AA72" si="59">Z60-Z59</f>
        <v>13906.720351616968</v>
      </c>
      <c r="AB60" s="83">
        <f t="shared" ref="AB60:AB72" si="60">(AA60/Z59)</f>
        <v>4.5814334651524749E-2</v>
      </c>
      <c r="AC60" s="7">
        <f t="shared" si="24"/>
        <v>1.0458143346515247</v>
      </c>
      <c r="AD60" s="2">
        <f t="shared" si="25"/>
        <v>0</v>
      </c>
      <c r="AE60" s="2"/>
      <c r="AG60">
        <f t="shared" si="26"/>
        <v>2005</v>
      </c>
      <c r="AH60" s="6">
        <f t="shared" si="58"/>
        <v>0.19272635040215677</v>
      </c>
      <c r="AI60" s="7"/>
      <c r="AJ60" s="6">
        <f t="shared" si="46"/>
        <v>0.16914603281620019</v>
      </c>
      <c r="AK60" s="6">
        <f t="shared" si="46"/>
        <v>0.1020293723223271</v>
      </c>
      <c r="AL60" s="7"/>
      <c r="AM60" s="6">
        <f t="shared" ref="AM60:AM72" si="61">X60/$Z60</f>
        <v>0.17239255166633699</v>
      </c>
      <c r="AN60" s="6">
        <f t="shared" si="28"/>
        <v>0.36370569279297887</v>
      </c>
      <c r="AO60" s="6">
        <f t="shared" si="29"/>
        <v>1</v>
      </c>
      <c r="AP60" s="7">
        <f t="shared" si="30"/>
        <v>0.63629430720702107</v>
      </c>
      <c r="AQ60" s="7">
        <f t="shared" si="31"/>
        <v>0</v>
      </c>
      <c r="AR60" s="24"/>
      <c r="AS60">
        <f t="shared" si="32"/>
        <v>2005</v>
      </c>
      <c r="AT60" s="1" t="b">
        <f t="shared" si="33"/>
        <v>1</v>
      </c>
      <c r="AV60" s="1" t="b">
        <f t="shared" si="54"/>
        <v>1</v>
      </c>
      <c r="AW60" s="1" t="b">
        <f t="shared" si="55"/>
        <v>1</v>
      </c>
      <c r="AY60" s="1" t="b">
        <f t="shared" si="44"/>
        <v>1</v>
      </c>
      <c r="AZ60" s="1" t="b">
        <f t="shared" si="36"/>
        <v>1</v>
      </c>
      <c r="BA60" s="1" t="b">
        <f t="shared" si="37"/>
        <v>1</v>
      </c>
      <c r="BC60">
        <f t="shared" si="38"/>
        <v>2005</v>
      </c>
      <c r="BD60" s="2">
        <f t="shared" si="39"/>
        <v>61181.345733889415</v>
      </c>
      <c r="BE60" s="2"/>
      <c r="BF60" s="2">
        <f t="shared" si="47"/>
        <v>53695.729160281655</v>
      </c>
      <c r="BG60" s="2">
        <f t="shared" si="47"/>
        <v>32389.417897648134</v>
      </c>
      <c r="BH60" s="2"/>
      <c r="BI60" s="2">
        <f>X60</f>
        <v>54726.342731219615</v>
      </c>
      <c r="BJ60" s="2">
        <f>Y60</f>
        <v>115459.06249829548</v>
      </c>
      <c r="BK60" s="2">
        <f t="shared" si="40"/>
        <v>317451.89802133432</v>
      </c>
      <c r="BL60" s="2">
        <f t="shared" si="41"/>
        <v>0</v>
      </c>
      <c r="BM60" s="2"/>
    </row>
    <row r="61" spans="1:65" x14ac:dyDescent="0.2">
      <c r="A61">
        <f t="shared" si="6"/>
        <v>2006</v>
      </c>
      <c r="B61" s="2">
        <f t="shared" si="45"/>
        <v>70750.108206669727</v>
      </c>
      <c r="C61" s="2"/>
      <c r="D61" s="2">
        <f t="shared" si="49"/>
        <v>60996.737454205148</v>
      </c>
      <c r="E61" s="2">
        <f t="shared" si="50"/>
        <v>37460.305163703924</v>
      </c>
      <c r="F61" s="2"/>
      <c r="G61" s="2">
        <f t="shared" si="43"/>
        <v>69303.798644534589</v>
      </c>
      <c r="H61" s="2">
        <f t="shared" si="12"/>
        <v>120389.16446697268</v>
      </c>
      <c r="I61" s="2">
        <f t="shared" si="42"/>
        <v>358900.11393608607</v>
      </c>
      <c r="J61" s="2">
        <f t="shared" si="13"/>
        <v>33039.545725609816</v>
      </c>
      <c r="K61" s="83">
        <f t="shared" si="14"/>
        <v>0.1013916654815052</v>
      </c>
      <c r="L61" s="7">
        <f t="shared" si="15"/>
        <v>1.1013916654815052</v>
      </c>
      <c r="N61">
        <f t="shared" si="16"/>
        <v>2006</v>
      </c>
      <c r="O61" s="2">
        <f t="shared" si="17"/>
        <v>8618.8869438705151</v>
      </c>
      <c r="P61" s="2"/>
      <c r="Q61" s="2"/>
      <c r="R61">
        <f t="shared" si="18"/>
        <v>2006</v>
      </c>
      <c r="S61" s="2">
        <f t="shared" si="51"/>
        <v>69026.330817895621</v>
      </c>
      <c r="T61" s="2"/>
      <c r="U61" s="2">
        <f t="shared" si="52"/>
        <v>59272.960065431042</v>
      </c>
      <c r="V61" s="2">
        <f t="shared" si="52"/>
        <v>35736.527774929818</v>
      </c>
      <c r="W61" s="2"/>
      <c r="X61" s="2">
        <f t="shared" si="53"/>
        <v>67580.021255760483</v>
      </c>
      <c r="Y61" s="2">
        <f t="shared" si="53"/>
        <v>118665.38707819858</v>
      </c>
      <c r="Z61" s="2">
        <f t="shared" si="21"/>
        <v>350281.22699221555</v>
      </c>
      <c r="AA61" s="2">
        <f t="shared" si="59"/>
        <v>32829.328970881237</v>
      </c>
      <c r="AB61" s="83">
        <f t="shared" si="60"/>
        <v>0.10341512895498563</v>
      </c>
      <c r="AC61" s="7">
        <f t="shared" si="24"/>
        <v>1.1034151289549856</v>
      </c>
      <c r="AD61" s="2">
        <f t="shared" si="25"/>
        <v>0</v>
      </c>
      <c r="AE61" s="2"/>
      <c r="AG61">
        <f t="shared" si="26"/>
        <v>2006</v>
      </c>
      <c r="AH61" s="6">
        <f t="shared" si="58"/>
        <v>0.19705974942079788</v>
      </c>
      <c r="AI61" s="7"/>
      <c r="AJ61" s="6">
        <f t="shared" si="46"/>
        <v>0.16921534897657614</v>
      </c>
      <c r="AK61" s="6">
        <f t="shared" si="46"/>
        <v>0.10202238950054839</v>
      </c>
      <c r="AL61" s="7"/>
      <c r="AM61" s="59">
        <f t="shared" si="61"/>
        <v>0.19293075405740298</v>
      </c>
      <c r="AN61" s="38">
        <f t="shared" si="28"/>
        <v>0.33877175804467458</v>
      </c>
      <c r="AO61" s="6">
        <f t="shared" si="29"/>
        <v>1</v>
      </c>
      <c r="AP61" s="7">
        <f t="shared" si="30"/>
        <v>0.66122824195532537</v>
      </c>
      <c r="AQ61" s="7">
        <f t="shared" si="31"/>
        <v>0</v>
      </c>
      <c r="AR61" s="24"/>
      <c r="AS61">
        <f t="shared" si="32"/>
        <v>2006</v>
      </c>
      <c r="AT61" s="1" t="b">
        <f t="shared" si="33"/>
        <v>1</v>
      </c>
      <c r="AV61" s="1" t="b">
        <f t="shared" si="54"/>
        <v>1</v>
      </c>
      <c r="AW61" s="1" t="b">
        <f t="shared" si="55"/>
        <v>1</v>
      </c>
      <c r="AY61" s="1" t="b">
        <f t="shared" si="44"/>
        <v>1</v>
      </c>
      <c r="AZ61" s="39" t="b">
        <f t="shared" si="36"/>
        <v>0</v>
      </c>
      <c r="BA61" s="1" t="b">
        <f t="shared" si="37"/>
        <v>1</v>
      </c>
      <c r="BC61">
        <f t="shared" si="38"/>
        <v>2006</v>
      </c>
      <c r="BD61" s="27">
        <f>$BK61*BD$42</f>
        <v>70056.245398443119</v>
      </c>
      <c r="BE61" s="2"/>
      <c r="BF61" s="27">
        <f t="shared" ref="BF61:BG64" si="62">$BK61*BF$42</f>
        <v>52542.184048832329</v>
      </c>
      <c r="BG61" s="27">
        <f t="shared" si="62"/>
        <v>35028.12269922156</v>
      </c>
      <c r="BH61" s="2"/>
      <c r="BI61" s="27">
        <f>$BK61*BI$42</f>
        <v>52542.184048832329</v>
      </c>
      <c r="BJ61" s="27">
        <f t="shared" ref="BJ61:BJ64" si="63">$BK61*BJ$42</f>
        <v>140112.49079688624</v>
      </c>
      <c r="BK61" s="2">
        <f t="shared" si="40"/>
        <v>350281.22699221555</v>
      </c>
      <c r="BL61" s="2">
        <f t="shared" si="41"/>
        <v>0</v>
      </c>
      <c r="BM61" s="2"/>
    </row>
    <row r="62" spans="1:65" x14ac:dyDescent="0.2">
      <c r="A62">
        <f t="shared" si="6"/>
        <v>2007</v>
      </c>
      <c r="B62" s="2">
        <f t="shared" si="45"/>
        <v>73832.277025419215</v>
      </c>
      <c r="C62" s="2"/>
      <c r="D62" s="2">
        <f t="shared" si="49"/>
        <v>55705.748950412526</v>
      </c>
      <c r="E62" s="2">
        <f t="shared" si="50"/>
        <v>35433.04779762456</v>
      </c>
      <c r="F62" s="2"/>
      <c r="G62" s="2">
        <f t="shared" si="43"/>
        <v>60697.781856892077</v>
      </c>
      <c r="H62" s="2">
        <f t="shared" si="12"/>
        <v>149808.27516003075</v>
      </c>
      <c r="I62" s="2">
        <f t="shared" si="42"/>
        <v>375477.13079037913</v>
      </c>
      <c r="J62" s="2">
        <f t="shared" si="13"/>
        <v>16577.016854293062</v>
      </c>
      <c r="K62" s="83">
        <f t="shared" si="14"/>
        <v>4.6188385599802692E-2</v>
      </c>
      <c r="L62" s="7">
        <f t="shared" si="15"/>
        <v>1.0461883855998027</v>
      </c>
      <c r="N62">
        <f t="shared" si="16"/>
        <v>2007</v>
      </c>
      <c r="O62" s="2">
        <f t="shared" si="17"/>
        <v>8972.2613085692064</v>
      </c>
      <c r="P62" s="2"/>
      <c r="Q62" s="2"/>
      <c r="R62">
        <f t="shared" si="18"/>
        <v>2007</v>
      </c>
      <c r="S62" s="2">
        <f t="shared" si="51"/>
        <v>72037.824763705372</v>
      </c>
      <c r="T62" s="2"/>
      <c r="U62" s="2">
        <f t="shared" si="52"/>
        <v>53911.296688698683</v>
      </c>
      <c r="V62" s="2">
        <f t="shared" si="52"/>
        <v>33638.595535910717</v>
      </c>
      <c r="W62" s="2"/>
      <c r="X62" s="2">
        <f t="shared" si="53"/>
        <v>58903.329595178235</v>
      </c>
      <c r="Y62" s="2">
        <f t="shared" si="53"/>
        <v>148013.82289831692</v>
      </c>
      <c r="Z62" s="2">
        <f t="shared" si="21"/>
        <v>366504.8694818099</v>
      </c>
      <c r="AA62" s="2">
        <f t="shared" si="59"/>
        <v>16223.642489594349</v>
      </c>
      <c r="AB62" s="83">
        <f t="shared" si="60"/>
        <v>4.6316049046941629E-2</v>
      </c>
      <c r="AC62" s="7">
        <f t="shared" si="24"/>
        <v>1.0463160490469416</v>
      </c>
      <c r="AD62" s="2">
        <f t="shared" si="25"/>
        <v>0</v>
      </c>
      <c r="AE62" s="2"/>
      <c r="AG62">
        <f t="shared" si="26"/>
        <v>2007</v>
      </c>
      <c r="AH62" s="6">
        <f t="shared" si="58"/>
        <v>0.19655352701195339</v>
      </c>
      <c r="AI62" s="7"/>
      <c r="AJ62" s="6">
        <f t="shared" si="46"/>
        <v>0.14709571735001017</v>
      </c>
      <c r="AK62" s="6">
        <f t="shared" si="46"/>
        <v>9.1782124432538387E-2</v>
      </c>
      <c r="AL62" s="7"/>
      <c r="AM62" s="6">
        <f t="shared" si="61"/>
        <v>0.16071636286431845</v>
      </c>
      <c r="AN62" s="6">
        <f t="shared" si="28"/>
        <v>0.40385226834117965</v>
      </c>
      <c r="AO62" s="6">
        <f t="shared" si="29"/>
        <v>1</v>
      </c>
      <c r="AP62" s="7">
        <f t="shared" si="30"/>
        <v>0.5961477316588204</v>
      </c>
      <c r="AQ62" s="7">
        <f t="shared" si="31"/>
        <v>0</v>
      </c>
      <c r="AR62" s="24"/>
      <c r="AS62">
        <f t="shared" si="32"/>
        <v>2007</v>
      </c>
      <c r="AT62" s="1" t="b">
        <f t="shared" si="33"/>
        <v>1</v>
      </c>
      <c r="AV62" s="1" t="b">
        <f t="shared" si="54"/>
        <v>1</v>
      </c>
      <c r="AW62" s="1" t="b">
        <f t="shared" si="55"/>
        <v>1</v>
      </c>
      <c r="AY62" s="1" t="b">
        <f t="shared" si="44"/>
        <v>1</v>
      </c>
      <c r="AZ62" s="1" t="b">
        <f t="shared" si="36"/>
        <v>1</v>
      </c>
      <c r="BA62" s="1" t="b">
        <f t="shared" si="37"/>
        <v>1</v>
      </c>
      <c r="BC62">
        <f t="shared" si="38"/>
        <v>2007</v>
      </c>
      <c r="BD62" s="2">
        <f t="shared" si="39"/>
        <v>72037.824763705372</v>
      </c>
      <c r="BE62" s="2"/>
      <c r="BF62" s="2">
        <f t="shared" si="47"/>
        <v>53911.296688698683</v>
      </c>
      <c r="BG62" s="2">
        <f t="shared" si="47"/>
        <v>33638.595535910717</v>
      </c>
      <c r="BH62" s="2"/>
      <c r="BI62" s="2">
        <f>X62</f>
        <v>58903.329595178235</v>
      </c>
      <c r="BJ62" s="2">
        <f>Y62</f>
        <v>148013.82289831692</v>
      </c>
      <c r="BK62" s="2">
        <f t="shared" si="40"/>
        <v>366504.8694818099</v>
      </c>
      <c r="BL62" s="2">
        <f t="shared" si="41"/>
        <v>0</v>
      </c>
      <c r="BM62" s="2"/>
    </row>
    <row r="63" spans="1:65" x14ac:dyDescent="0.2">
      <c r="A63">
        <f t="shared" si="6"/>
        <v>2008</v>
      </c>
      <c r="B63" s="2">
        <f t="shared" si="45"/>
        <v>45369.422036181641</v>
      </c>
      <c r="C63" s="2"/>
      <c r="D63" s="2">
        <f t="shared" si="49"/>
        <v>31363.43596161735</v>
      </c>
      <c r="E63" s="2">
        <f t="shared" si="50"/>
        <v>21505.154126107722</v>
      </c>
      <c r="F63" s="2"/>
      <c r="G63" s="2">
        <f t="shared" si="43"/>
        <v>32926.372210408677</v>
      </c>
      <c r="H63" s="2">
        <f t="shared" si="12"/>
        <v>155488.52095468194</v>
      </c>
      <c r="I63" s="2">
        <f t="shared" si="42"/>
        <v>286652.90528899734</v>
      </c>
      <c r="J63" s="2">
        <f t="shared" si="13"/>
        <v>-88824.225501381792</v>
      </c>
      <c r="K63" s="83">
        <f t="shared" si="14"/>
        <v>-0.23656360991788461</v>
      </c>
      <c r="L63" s="7">
        <f t="shared" si="15"/>
        <v>0.76343639008211539</v>
      </c>
      <c r="N63">
        <f t="shared" si="16"/>
        <v>2008</v>
      </c>
      <c r="O63" s="2">
        <f t="shared" si="17"/>
        <v>8972.2613085692064</v>
      </c>
      <c r="P63" s="2"/>
      <c r="Q63" s="2"/>
      <c r="R63">
        <f t="shared" si="18"/>
        <v>2008</v>
      </c>
      <c r="S63" s="2">
        <f t="shared" si="51"/>
        <v>43574.969774467798</v>
      </c>
      <c r="T63" s="2"/>
      <c r="U63" s="2">
        <f t="shared" si="52"/>
        <v>29568.983699903507</v>
      </c>
      <c r="V63" s="2">
        <f t="shared" si="52"/>
        <v>19710.701864393879</v>
      </c>
      <c r="W63" s="2"/>
      <c r="X63" s="2">
        <f t="shared" si="53"/>
        <v>31131.919948694835</v>
      </c>
      <c r="Y63" s="2">
        <f t="shared" si="53"/>
        <v>153694.06869296811</v>
      </c>
      <c r="Z63" s="2">
        <f t="shared" si="21"/>
        <v>277680.64398042811</v>
      </c>
      <c r="AA63" s="2">
        <f t="shared" si="59"/>
        <v>-88824.225501381792</v>
      </c>
      <c r="AB63" s="83">
        <f t="shared" si="60"/>
        <v>-0.24235483044732165</v>
      </c>
      <c r="AC63" s="7">
        <f t="shared" si="24"/>
        <v>0.75764516955267835</v>
      </c>
      <c r="AD63" s="2">
        <f t="shared" si="25"/>
        <v>0</v>
      </c>
      <c r="AE63" s="2"/>
      <c r="AG63">
        <f t="shared" si="26"/>
        <v>2008</v>
      </c>
      <c r="AH63" s="6">
        <f t="shared" si="58"/>
        <v>0.15692476490201135</v>
      </c>
      <c r="AI63" s="7"/>
      <c r="AJ63" s="6">
        <f t="shared" si="46"/>
        <v>0.10648557737422862</v>
      </c>
      <c r="AK63" s="6">
        <f t="shared" si="46"/>
        <v>7.0983348287621942E-2</v>
      </c>
      <c r="AL63" s="7"/>
      <c r="AM63" s="6">
        <f t="shared" si="61"/>
        <v>0.11211411606668961</v>
      </c>
      <c r="AN63" s="38">
        <f t="shared" si="28"/>
        <v>0.55349219336944855</v>
      </c>
      <c r="AO63" s="6">
        <f t="shared" si="29"/>
        <v>1</v>
      </c>
      <c r="AP63" s="7">
        <f t="shared" si="30"/>
        <v>0.44650780663055145</v>
      </c>
      <c r="AQ63" s="7">
        <f t="shared" si="31"/>
        <v>0</v>
      </c>
      <c r="AR63" s="24"/>
      <c r="AS63">
        <f t="shared" si="32"/>
        <v>2008</v>
      </c>
      <c r="AT63" s="1" t="b">
        <f t="shared" si="33"/>
        <v>1</v>
      </c>
      <c r="AV63" s="1" t="b">
        <f t="shared" si="54"/>
        <v>1</v>
      </c>
      <c r="AW63" s="1" t="b">
        <f t="shared" si="55"/>
        <v>1</v>
      </c>
      <c r="AY63" s="1" t="b">
        <f t="shared" si="44"/>
        <v>1</v>
      </c>
      <c r="AZ63" s="39" t="b">
        <f t="shared" si="36"/>
        <v>0</v>
      </c>
      <c r="BA63" s="1" t="b">
        <f t="shared" si="37"/>
        <v>1</v>
      </c>
      <c r="BC63">
        <f t="shared" si="38"/>
        <v>2008</v>
      </c>
      <c r="BD63" s="27">
        <f>$BK63*BD$42</f>
        <v>55536.128796085628</v>
      </c>
      <c r="BE63" s="2"/>
      <c r="BF63" s="27">
        <f t="shared" si="62"/>
        <v>41652.096597064214</v>
      </c>
      <c r="BG63" s="27">
        <f t="shared" si="62"/>
        <v>27768.064398042814</v>
      </c>
      <c r="BH63" s="2"/>
      <c r="BI63" s="27">
        <f>$BK63*BI$42</f>
        <v>41652.096597064214</v>
      </c>
      <c r="BJ63" s="27">
        <f t="shared" si="63"/>
        <v>111072.25759217126</v>
      </c>
      <c r="BK63" s="2">
        <f t="shared" si="40"/>
        <v>277680.64398042811</v>
      </c>
      <c r="BL63" s="2">
        <f t="shared" si="41"/>
        <v>0</v>
      </c>
      <c r="BM63" s="2"/>
    </row>
    <row r="64" spans="1:65" x14ac:dyDescent="0.2">
      <c r="A64">
        <f t="shared" si="6"/>
        <v>2009</v>
      </c>
      <c r="B64" s="2">
        <f t="shared" si="45"/>
        <v>70247.64931416871</v>
      </c>
      <c r="C64" s="2"/>
      <c r="D64" s="2">
        <f t="shared" si="49"/>
        <v>58403.736806471497</v>
      </c>
      <c r="E64" s="2">
        <f t="shared" si="50"/>
        <v>37797.333897327917</v>
      </c>
      <c r="F64" s="2"/>
      <c r="G64" s="2">
        <f t="shared" si="43"/>
        <v>56949.662114267987</v>
      </c>
      <c r="H64" s="2">
        <f t="shared" si="12"/>
        <v>117658.842467387</v>
      </c>
      <c r="I64" s="2">
        <f t="shared" si="42"/>
        <v>341057.22459962312</v>
      </c>
      <c r="J64" s="2">
        <f t="shared" si="13"/>
        <v>54404.319310625782</v>
      </c>
      <c r="K64" s="83">
        <f t="shared" si="14"/>
        <v>0.18979162013298456</v>
      </c>
      <c r="L64" s="7">
        <f t="shared" si="15"/>
        <v>1.1897916201329846</v>
      </c>
      <c r="N64">
        <f t="shared" si="16"/>
        <v>2009</v>
      </c>
      <c r="O64" s="2">
        <f t="shared" si="17"/>
        <v>9223.4846252091447</v>
      </c>
      <c r="P64" s="2"/>
      <c r="Q64" s="2"/>
      <c r="R64">
        <f t="shared" si="18"/>
        <v>2009</v>
      </c>
      <c r="S64" s="2">
        <f t="shared" si="51"/>
        <v>68402.952389126876</v>
      </c>
      <c r="T64" s="2"/>
      <c r="U64" s="2">
        <f t="shared" si="52"/>
        <v>56559.039881429671</v>
      </c>
      <c r="V64" s="2">
        <f t="shared" si="52"/>
        <v>35952.636972286091</v>
      </c>
      <c r="W64" s="2"/>
      <c r="X64" s="2">
        <f t="shared" si="53"/>
        <v>55104.965189226161</v>
      </c>
      <c r="Y64" s="2">
        <f t="shared" si="53"/>
        <v>115814.14554234517</v>
      </c>
      <c r="Z64" s="2">
        <f t="shared" si="21"/>
        <v>331833.739974414</v>
      </c>
      <c r="AA64" s="2">
        <f t="shared" si="59"/>
        <v>54153.095993985888</v>
      </c>
      <c r="AB64" s="83">
        <f t="shared" si="60"/>
        <v>0.19501934026702555</v>
      </c>
      <c r="AC64" s="7">
        <f t="shared" si="24"/>
        <v>1.1950193402670255</v>
      </c>
      <c r="AD64" s="2">
        <f t="shared" si="25"/>
        <v>0</v>
      </c>
      <c r="AE64" s="2"/>
      <c r="AG64">
        <f t="shared" si="26"/>
        <v>2009</v>
      </c>
      <c r="AH64" s="6">
        <f t="shared" si="58"/>
        <v>0.20613621868108131</v>
      </c>
      <c r="AI64" s="7"/>
      <c r="AJ64" s="6">
        <f t="shared" si="46"/>
        <v>0.17044390930768719</v>
      </c>
      <c r="AK64" s="6">
        <f t="shared" si="46"/>
        <v>0.10834533274120411</v>
      </c>
      <c r="AL64" s="7"/>
      <c r="AM64" s="6">
        <f t="shared" si="61"/>
        <v>0.16606197185818122</v>
      </c>
      <c r="AN64" s="38">
        <f t="shared" si="28"/>
        <v>0.34901256741184611</v>
      </c>
      <c r="AO64" s="6">
        <f t="shared" si="29"/>
        <v>1</v>
      </c>
      <c r="AP64" s="7">
        <f t="shared" si="30"/>
        <v>0.65098743258815384</v>
      </c>
      <c r="AQ64" s="7">
        <f t="shared" si="31"/>
        <v>0</v>
      </c>
      <c r="AR64" s="24"/>
      <c r="AS64">
        <f t="shared" si="32"/>
        <v>2009</v>
      </c>
      <c r="AT64" s="1" t="b">
        <f t="shared" si="33"/>
        <v>1</v>
      </c>
      <c r="AV64" s="1" t="b">
        <f t="shared" si="54"/>
        <v>1</v>
      </c>
      <c r="AW64" s="1" t="b">
        <f t="shared" si="55"/>
        <v>1</v>
      </c>
      <c r="AY64" s="1" t="b">
        <f t="shared" si="44"/>
        <v>1</v>
      </c>
      <c r="AZ64" s="39" t="b">
        <f t="shared" si="36"/>
        <v>0</v>
      </c>
      <c r="BA64" s="1" t="b">
        <f t="shared" si="37"/>
        <v>1</v>
      </c>
      <c r="BC64">
        <f t="shared" si="38"/>
        <v>2009</v>
      </c>
      <c r="BD64" s="27">
        <f>$BK64*BD$42</f>
        <v>66366.747994882797</v>
      </c>
      <c r="BE64" s="2"/>
      <c r="BF64" s="27">
        <f t="shared" si="62"/>
        <v>49775.060996162101</v>
      </c>
      <c r="BG64" s="27">
        <f t="shared" si="62"/>
        <v>33183.373997441398</v>
      </c>
      <c r="BH64" s="2"/>
      <c r="BI64" s="27">
        <f>$BK64*BI$42</f>
        <v>49775.060996162101</v>
      </c>
      <c r="BJ64" s="27">
        <f t="shared" si="63"/>
        <v>132733.49598976559</v>
      </c>
      <c r="BK64" s="2">
        <f t="shared" si="40"/>
        <v>331833.739974414</v>
      </c>
      <c r="BL64" s="2">
        <f t="shared" si="41"/>
        <v>0</v>
      </c>
      <c r="BM64" s="2"/>
    </row>
    <row r="65" spans="1:65" x14ac:dyDescent="0.2">
      <c r="A65">
        <f t="shared" si="6"/>
        <v>2010</v>
      </c>
      <c r="B65" s="2">
        <f t="shared" si="45"/>
        <v>76262.030120919822</v>
      </c>
      <c r="C65" s="2"/>
      <c r="D65" s="2">
        <f t="shared" si="49"/>
        <v>62447.791525784967</v>
      </c>
      <c r="E65" s="2">
        <f t="shared" si="50"/>
        <v>42381.80526953216</v>
      </c>
      <c r="F65" s="2"/>
      <c r="G65" s="2">
        <f t="shared" si="43"/>
        <v>55310.047778935324</v>
      </c>
      <c r="H65" s="2">
        <f t="shared" si="12"/>
        <v>141254.98643230853</v>
      </c>
      <c r="I65" s="2">
        <f t="shared" si="42"/>
        <v>377656.66112748079</v>
      </c>
      <c r="J65" s="2">
        <f t="shared" si="13"/>
        <v>36599.436527857673</v>
      </c>
      <c r="K65" s="83">
        <f t="shared" si="14"/>
        <v>0.10731171747152637</v>
      </c>
      <c r="L65" s="7">
        <f t="shared" si="15"/>
        <v>1.1073117174715263</v>
      </c>
      <c r="N65">
        <f t="shared" si="16"/>
        <v>2010</v>
      </c>
      <c r="O65" s="2">
        <f t="shared" si="17"/>
        <v>9352.6134099620722</v>
      </c>
      <c r="P65" s="2"/>
      <c r="Q65" s="2"/>
      <c r="R65">
        <f t="shared" si="18"/>
        <v>2010</v>
      </c>
      <c r="S65" s="2">
        <f t="shared" si="51"/>
        <v>74391.507438927409</v>
      </c>
      <c r="T65" s="2"/>
      <c r="U65" s="2">
        <f t="shared" si="52"/>
        <v>60577.268843792554</v>
      </c>
      <c r="V65" s="2">
        <f t="shared" si="52"/>
        <v>40511.282587539747</v>
      </c>
      <c r="W65" s="2"/>
      <c r="X65" s="2">
        <f t="shared" si="53"/>
        <v>53439.525096942911</v>
      </c>
      <c r="Y65" s="2">
        <f t="shared" si="53"/>
        <v>139384.46375031612</v>
      </c>
      <c r="Z65" s="2">
        <f t="shared" si="21"/>
        <v>368304.04771751876</v>
      </c>
      <c r="AA65" s="2">
        <f t="shared" si="59"/>
        <v>36470.307743104757</v>
      </c>
      <c r="AB65" s="83">
        <f t="shared" si="60"/>
        <v>0.1099053632880032</v>
      </c>
      <c r="AC65" s="7">
        <f t="shared" si="24"/>
        <v>1.1099053632880032</v>
      </c>
      <c r="AD65" s="2">
        <f t="shared" si="25"/>
        <v>0</v>
      </c>
      <c r="AE65" s="2"/>
      <c r="AG65">
        <f t="shared" si="26"/>
        <v>2010</v>
      </c>
      <c r="AH65" s="6">
        <f t="shared" si="58"/>
        <v>0.20198395293223625</v>
      </c>
      <c r="AI65" s="7"/>
      <c r="AJ65" s="6">
        <f t="shared" si="46"/>
        <v>0.16447625058482662</v>
      </c>
      <c r="AK65" s="6">
        <f t="shared" si="46"/>
        <v>0.10999412805425104</v>
      </c>
      <c r="AL65" s="7"/>
      <c r="AM65" s="6">
        <f t="shared" si="61"/>
        <v>0.14509621989799545</v>
      </c>
      <c r="AN65" s="59">
        <f t="shared" si="28"/>
        <v>0.37844944853069057</v>
      </c>
      <c r="AO65" s="6">
        <f t="shared" si="29"/>
        <v>1</v>
      </c>
      <c r="AP65" s="7">
        <f t="shared" si="30"/>
        <v>0.62155055146930938</v>
      </c>
      <c r="AQ65" s="7">
        <f t="shared" si="31"/>
        <v>0</v>
      </c>
      <c r="AR65" s="24"/>
      <c r="AS65">
        <f t="shared" si="32"/>
        <v>2010</v>
      </c>
      <c r="AT65" s="1" t="b">
        <f t="shared" si="33"/>
        <v>1</v>
      </c>
      <c r="AV65" s="1" t="b">
        <f t="shared" si="54"/>
        <v>1</v>
      </c>
      <c r="AW65" s="1" t="b">
        <f t="shared" si="55"/>
        <v>1</v>
      </c>
      <c r="AY65" s="1" t="b">
        <f t="shared" si="44"/>
        <v>1</v>
      </c>
      <c r="AZ65" s="1" t="b">
        <f t="shared" si="36"/>
        <v>1</v>
      </c>
      <c r="BA65" s="1" t="b">
        <f t="shared" si="37"/>
        <v>1</v>
      </c>
      <c r="BC65">
        <f t="shared" si="38"/>
        <v>2010</v>
      </c>
      <c r="BD65" s="2">
        <f t="shared" ref="BD65" si="64">S65</f>
        <v>74391.507438927409</v>
      </c>
      <c r="BE65" s="2"/>
      <c r="BF65" s="2">
        <f t="shared" ref="BF65" si="65">U65</f>
        <v>60577.268843792554</v>
      </c>
      <c r="BG65" s="2">
        <f t="shared" ref="BG65" si="66">V65</f>
        <v>40511.282587539747</v>
      </c>
      <c r="BH65" s="2"/>
      <c r="BI65" s="2">
        <f>X65</f>
        <v>53439.525096942911</v>
      </c>
      <c r="BJ65" s="2">
        <f t="shared" ref="BJ65" si="67">Y65</f>
        <v>139384.46375031612</v>
      </c>
      <c r="BK65" s="2">
        <f t="shared" si="40"/>
        <v>368304.04771751876</v>
      </c>
      <c r="BL65" s="2">
        <f t="shared" si="41"/>
        <v>0</v>
      </c>
      <c r="BM65" s="2"/>
    </row>
    <row r="66" spans="1:65" x14ac:dyDescent="0.2">
      <c r="A66">
        <f t="shared" si="6"/>
        <v>2011</v>
      </c>
      <c r="B66" s="2">
        <f t="shared" si="45"/>
        <v>75857.020135474289</v>
      </c>
      <c r="C66" s="2"/>
      <c r="D66" s="2">
        <f t="shared" si="49"/>
        <v>59299.08847118853</v>
      </c>
      <c r="E66" s="2">
        <f t="shared" si="50"/>
        <v>39376.966675088632</v>
      </c>
      <c r="F66" s="2"/>
      <c r="G66" s="2">
        <f t="shared" si="43"/>
        <v>45658.730242828024</v>
      </c>
      <c r="H66" s="2">
        <f t="shared" si="12"/>
        <v>149921.92920984005</v>
      </c>
      <c r="I66" s="2">
        <f t="shared" si="42"/>
        <v>370113.7347344195</v>
      </c>
      <c r="J66" s="2">
        <f t="shared" si="13"/>
        <v>-7542.9263930612942</v>
      </c>
      <c r="K66" s="83">
        <f t="shared" si="14"/>
        <v>-1.9972973257090583E-2</v>
      </c>
      <c r="L66" s="7">
        <f t="shared" si="15"/>
        <v>0.98002702674290942</v>
      </c>
      <c r="N66">
        <f t="shared" si="16"/>
        <v>2011</v>
      </c>
      <c r="O66" s="2">
        <f t="shared" si="17"/>
        <v>9633.191812260935</v>
      </c>
      <c r="P66" s="2"/>
      <c r="Q66" s="2"/>
      <c r="R66">
        <f t="shared" si="18"/>
        <v>2011</v>
      </c>
      <c r="S66" s="2">
        <f t="shared" si="51"/>
        <v>73930.381773022105</v>
      </c>
      <c r="T66" s="2"/>
      <c r="U66" s="2">
        <f t="shared" si="52"/>
        <v>57372.450108736346</v>
      </c>
      <c r="V66" s="2">
        <f t="shared" si="52"/>
        <v>37450.328312636448</v>
      </c>
      <c r="W66" s="2"/>
      <c r="X66" s="2">
        <f t="shared" si="53"/>
        <v>43732.09188037584</v>
      </c>
      <c r="Y66" s="2">
        <f t="shared" si="53"/>
        <v>147995.29084738786</v>
      </c>
      <c r="Z66" s="2">
        <f t="shared" si="21"/>
        <v>360480.54292215861</v>
      </c>
      <c r="AA66" s="2">
        <f t="shared" si="59"/>
        <v>-7823.5047953601461</v>
      </c>
      <c r="AB66" s="83">
        <f t="shared" si="60"/>
        <v>-2.124197342886822E-2</v>
      </c>
      <c r="AC66" s="7">
        <f t="shared" si="24"/>
        <v>0.97875802657113176</v>
      </c>
      <c r="AD66" s="2">
        <f t="shared" si="25"/>
        <v>0</v>
      </c>
      <c r="AE66" s="2"/>
      <c r="AG66">
        <f t="shared" si="26"/>
        <v>2011</v>
      </c>
      <c r="AH66" s="6">
        <f t="shared" si="58"/>
        <v>0.20508841107961401</v>
      </c>
      <c r="AI66" s="7"/>
      <c r="AJ66" s="6">
        <f t="shared" si="46"/>
        <v>0.15915546965075791</v>
      </c>
      <c r="AK66" s="6">
        <f t="shared" si="46"/>
        <v>0.10389001306160203</v>
      </c>
      <c r="AL66" s="7"/>
      <c r="AM66" s="6">
        <f t="shared" si="61"/>
        <v>0.1213160952485007</v>
      </c>
      <c r="AN66" s="6">
        <f t="shared" si="28"/>
        <v>0.41055001095952537</v>
      </c>
      <c r="AO66" s="6">
        <f t="shared" si="29"/>
        <v>1</v>
      </c>
      <c r="AP66" s="7">
        <f t="shared" si="30"/>
        <v>0.58944998904047474</v>
      </c>
      <c r="AQ66" s="7">
        <f t="shared" si="31"/>
        <v>0</v>
      </c>
      <c r="AR66" s="24"/>
      <c r="AS66">
        <f t="shared" si="32"/>
        <v>2011</v>
      </c>
      <c r="AT66" s="1" t="b">
        <f t="shared" si="33"/>
        <v>1</v>
      </c>
      <c r="AV66" s="1" t="b">
        <f t="shared" si="54"/>
        <v>1</v>
      </c>
      <c r="AW66" s="1" t="b">
        <f t="shared" si="55"/>
        <v>1</v>
      </c>
      <c r="AY66" s="1" t="b">
        <f t="shared" si="44"/>
        <v>1</v>
      </c>
      <c r="AZ66" s="1" t="b">
        <f t="shared" si="36"/>
        <v>1</v>
      </c>
      <c r="BA66" s="1" t="b">
        <f t="shared" si="37"/>
        <v>1</v>
      </c>
      <c r="BC66">
        <f t="shared" si="38"/>
        <v>2011</v>
      </c>
      <c r="BD66" s="2">
        <f t="shared" si="39"/>
        <v>73930.381773022105</v>
      </c>
      <c r="BE66" s="2"/>
      <c r="BF66" s="2">
        <f t="shared" si="47"/>
        <v>57372.450108736346</v>
      </c>
      <c r="BG66" s="2">
        <f t="shared" si="47"/>
        <v>37450.328312636448</v>
      </c>
      <c r="BH66" s="2"/>
      <c r="BI66" s="2">
        <f>X66</f>
        <v>43732.09188037584</v>
      </c>
      <c r="BJ66" s="2">
        <f t="shared" ref="BJ66:BJ67" si="68">Y66</f>
        <v>147995.29084738786</v>
      </c>
      <c r="BK66" s="2">
        <f t="shared" si="40"/>
        <v>360480.54292215861</v>
      </c>
      <c r="BL66" s="2">
        <f t="shared" si="41"/>
        <v>0</v>
      </c>
      <c r="BM66" s="2"/>
    </row>
    <row r="67" spans="1:65" x14ac:dyDescent="0.2">
      <c r="A67">
        <f t="shared" si="6"/>
        <v>2012</v>
      </c>
      <c r="B67" s="2">
        <f t="shared" si="45"/>
        <v>85626.168169514189</v>
      </c>
      <c r="C67" s="2"/>
      <c r="D67" s="2">
        <f t="shared" si="49"/>
        <v>66437.297225916685</v>
      </c>
      <c r="E67" s="2">
        <f t="shared" si="50"/>
        <v>44206.367540236068</v>
      </c>
      <c r="F67" s="2"/>
      <c r="G67" s="2">
        <f t="shared" si="43"/>
        <v>51665.093347476017</v>
      </c>
      <c r="H67" s="2">
        <f t="shared" si="12"/>
        <v>153989.10012670708</v>
      </c>
      <c r="I67" s="2">
        <f t="shared" si="42"/>
        <v>401924.02640984999</v>
      </c>
      <c r="J67" s="2">
        <f t="shared" si="13"/>
        <v>31810.29167543049</v>
      </c>
      <c r="K67" s="83">
        <f t="shared" si="14"/>
        <v>8.5947341830630603E-2</v>
      </c>
      <c r="L67" s="7">
        <f t="shared" si="15"/>
        <v>1.0859473418306307</v>
      </c>
      <c r="N67">
        <f t="shared" si="16"/>
        <v>2012</v>
      </c>
      <c r="O67" s="2">
        <f t="shared" si="17"/>
        <v>9806.5892648816316</v>
      </c>
      <c r="P67" s="2"/>
      <c r="Q67" s="2"/>
      <c r="R67">
        <f t="shared" si="18"/>
        <v>2012</v>
      </c>
      <c r="S67" s="2">
        <f t="shared" si="51"/>
        <v>83664.850316537864</v>
      </c>
      <c r="T67" s="2"/>
      <c r="U67" s="2">
        <f t="shared" si="52"/>
        <v>64475.979372940361</v>
      </c>
      <c r="V67" s="2">
        <f t="shared" si="52"/>
        <v>42245.049687259743</v>
      </c>
      <c r="W67" s="2"/>
      <c r="X67" s="2">
        <f t="shared" si="53"/>
        <v>49703.775494499692</v>
      </c>
      <c r="Y67" s="2">
        <f t="shared" si="53"/>
        <v>152027.78227373076</v>
      </c>
      <c r="Z67" s="2">
        <f t="shared" si="21"/>
        <v>392117.43714496843</v>
      </c>
      <c r="AA67" s="2">
        <f t="shared" si="59"/>
        <v>31636.894222809817</v>
      </c>
      <c r="AB67" s="83">
        <f t="shared" si="60"/>
        <v>8.7763111890456227E-2</v>
      </c>
      <c r="AC67" s="7">
        <f t="shared" si="24"/>
        <v>1.0877631118904563</v>
      </c>
      <c r="AD67" s="2">
        <f t="shared" si="25"/>
        <v>0</v>
      </c>
      <c r="AE67" s="2"/>
      <c r="AG67">
        <f t="shared" si="26"/>
        <v>2012</v>
      </c>
      <c r="AH67" s="6">
        <f t="shared" si="58"/>
        <v>0.21336681920015307</v>
      </c>
      <c r="AI67" s="7"/>
      <c r="AJ67" s="6">
        <f t="shared" si="46"/>
        <v>0.16443027844513622</v>
      </c>
      <c r="AK67" s="6">
        <f t="shared" si="46"/>
        <v>0.10773570794211192</v>
      </c>
      <c r="AL67" s="7"/>
      <c r="AM67" s="6">
        <f t="shared" si="61"/>
        <v>0.12675737109881161</v>
      </c>
      <c r="AN67" s="6">
        <f t="shared" si="28"/>
        <v>0.38770982331378717</v>
      </c>
      <c r="AO67" s="6">
        <f t="shared" si="29"/>
        <v>1</v>
      </c>
      <c r="AP67" s="7">
        <f t="shared" si="30"/>
        <v>0.61229017668621277</v>
      </c>
      <c r="AQ67" s="7">
        <f t="shared" si="31"/>
        <v>0</v>
      </c>
      <c r="AR67" s="24"/>
      <c r="AS67">
        <f t="shared" si="32"/>
        <v>2012</v>
      </c>
      <c r="AT67" s="1" t="b">
        <f t="shared" si="33"/>
        <v>1</v>
      </c>
      <c r="AV67" s="1" t="b">
        <f t="shared" si="54"/>
        <v>1</v>
      </c>
      <c r="AW67" s="1" t="b">
        <f t="shared" si="55"/>
        <v>1</v>
      </c>
      <c r="AY67" s="1" t="b">
        <f t="shared" si="44"/>
        <v>1</v>
      </c>
      <c r="AZ67" s="1" t="b">
        <f t="shared" si="36"/>
        <v>1</v>
      </c>
      <c r="BA67" s="1" t="b">
        <f t="shared" si="37"/>
        <v>1</v>
      </c>
      <c r="BC67">
        <f t="shared" si="38"/>
        <v>2012</v>
      </c>
      <c r="BD67" s="2">
        <f t="shared" si="39"/>
        <v>83664.850316537864</v>
      </c>
      <c r="BE67" s="2"/>
      <c r="BF67" s="2">
        <f t="shared" si="47"/>
        <v>64475.979372940361</v>
      </c>
      <c r="BG67" s="2">
        <f t="shared" si="47"/>
        <v>42245.049687259743</v>
      </c>
      <c r="BH67" s="2"/>
      <c r="BI67" s="2">
        <f>X67</f>
        <v>49703.775494499692</v>
      </c>
      <c r="BJ67" s="2">
        <f t="shared" si="68"/>
        <v>152027.78227373076</v>
      </c>
      <c r="BK67" s="2">
        <f t="shared" si="40"/>
        <v>392117.43714496843</v>
      </c>
      <c r="BL67" s="2">
        <f t="shared" si="41"/>
        <v>0</v>
      </c>
      <c r="BM67" s="2"/>
    </row>
    <row r="68" spans="1:65" x14ac:dyDescent="0.2">
      <c r="A68">
        <f t="shared" si="6"/>
        <v>2013</v>
      </c>
      <c r="B68" s="2">
        <f t="shared" si="45"/>
        <v>110588.19914839976</v>
      </c>
      <c r="C68" s="2"/>
      <c r="D68" s="2">
        <f t="shared" si="49"/>
        <v>87042.572153469489</v>
      </c>
      <c r="E68" s="2">
        <f t="shared" si="50"/>
        <v>58137.637379606851</v>
      </c>
      <c r="F68" s="2"/>
      <c r="G68" s="2">
        <f t="shared" si="43"/>
        <v>57179.223328872438</v>
      </c>
      <c r="H68" s="2">
        <f t="shared" si="12"/>
        <v>148591.95439434444</v>
      </c>
      <c r="I68" s="2">
        <f t="shared" ref="I68:I69" si="69">SUM(B68:H68)</f>
        <v>461539.58640469296</v>
      </c>
      <c r="J68" s="2">
        <f t="shared" si="13"/>
        <v>59615.559994842974</v>
      </c>
      <c r="K68" s="83">
        <f t="shared" si="14"/>
        <v>0.14832544480446608</v>
      </c>
      <c r="L68" s="7">
        <f t="shared" si="15"/>
        <v>1.148325444804466</v>
      </c>
      <c r="N68">
        <f t="shared" si="16"/>
        <v>2013</v>
      </c>
      <c r="O68" s="2">
        <f t="shared" si="17"/>
        <v>9919.9133970045659</v>
      </c>
      <c r="P68" s="2"/>
      <c r="Q68" s="2"/>
      <c r="R68">
        <f t="shared" si="18"/>
        <v>2013</v>
      </c>
      <c r="S68" s="2">
        <f t="shared" si="51"/>
        <v>108604.21646899884</v>
      </c>
      <c r="T68" s="2"/>
      <c r="U68" s="2">
        <f t="shared" si="52"/>
        <v>85058.589474068576</v>
      </c>
      <c r="V68" s="2">
        <f t="shared" si="52"/>
        <v>56153.654700205938</v>
      </c>
      <c r="W68" s="2"/>
      <c r="X68" s="2">
        <f t="shared" si="53"/>
        <v>55195.240649471525</v>
      </c>
      <c r="Y68" s="2">
        <f t="shared" si="53"/>
        <v>146607.97171494353</v>
      </c>
      <c r="Z68" s="2">
        <f t="shared" si="21"/>
        <v>451619.67300768843</v>
      </c>
      <c r="AA68" s="2">
        <f t="shared" si="59"/>
        <v>59502.235862720001</v>
      </c>
      <c r="AB68" s="83">
        <f t="shared" si="60"/>
        <v>0.1517459572722894</v>
      </c>
      <c r="AC68" s="7">
        <f t="shared" si="24"/>
        <v>1.1517459572722895</v>
      </c>
      <c r="AD68" s="2">
        <f t="shared" si="25"/>
        <v>0</v>
      </c>
      <c r="AE68" s="2"/>
      <c r="AG68">
        <f t="shared" si="26"/>
        <v>2013</v>
      </c>
      <c r="AH68" s="6">
        <f t="shared" si="58"/>
        <v>0.24047716023024079</v>
      </c>
      <c r="AI68" s="7"/>
      <c r="AJ68" s="6">
        <f t="shared" si="46"/>
        <v>0.18834119627162593</v>
      </c>
      <c r="AK68" s="6">
        <f t="shared" si="46"/>
        <v>0.12433837154664866</v>
      </c>
      <c r="AL68" s="7"/>
      <c r="AM68" s="6">
        <f t="shared" si="61"/>
        <v>0.12221620081756686</v>
      </c>
      <c r="AN68" s="38">
        <f t="shared" si="28"/>
        <v>0.3246270711339177</v>
      </c>
      <c r="AO68" s="6">
        <f t="shared" si="29"/>
        <v>1</v>
      </c>
      <c r="AP68" s="7">
        <f t="shared" si="30"/>
        <v>0.67537292886608224</v>
      </c>
      <c r="AQ68" s="7">
        <f t="shared" si="31"/>
        <v>0</v>
      </c>
      <c r="AR68" s="24"/>
      <c r="AS68">
        <f t="shared" si="32"/>
        <v>2013</v>
      </c>
      <c r="AT68" s="1" t="b">
        <f t="shared" si="33"/>
        <v>1</v>
      </c>
      <c r="AV68" s="1" t="b">
        <f t="shared" si="54"/>
        <v>1</v>
      </c>
      <c r="AW68" s="1" t="b">
        <f t="shared" si="55"/>
        <v>1</v>
      </c>
      <c r="AY68" s="1" t="b">
        <f t="shared" si="44"/>
        <v>1</v>
      </c>
      <c r="AZ68" s="39" t="b">
        <f t="shared" si="36"/>
        <v>0</v>
      </c>
      <c r="BA68" s="1" t="b">
        <f t="shared" si="37"/>
        <v>1</v>
      </c>
      <c r="BC68">
        <f t="shared" si="38"/>
        <v>2013</v>
      </c>
      <c r="BD68" s="27">
        <f>$BK68*BD$42</f>
        <v>90323.934601537694</v>
      </c>
      <c r="BE68" s="2"/>
      <c r="BF68" s="27">
        <f t="shared" ref="BF68:BG68" si="70">$BK68*BF$42</f>
        <v>67742.950951153267</v>
      </c>
      <c r="BG68" s="27">
        <f t="shared" si="70"/>
        <v>45161.967300768847</v>
      </c>
      <c r="BH68" s="2"/>
      <c r="BI68" s="27">
        <f>$BK68*BI$42</f>
        <v>67742.950951153267</v>
      </c>
      <c r="BJ68" s="27">
        <f t="shared" ref="BJ68" si="71">$BK68*BJ$42</f>
        <v>180647.86920307539</v>
      </c>
      <c r="BK68" s="2">
        <f t="shared" si="40"/>
        <v>451619.67300768843</v>
      </c>
      <c r="BL68" s="2">
        <f t="shared" si="41"/>
        <v>0</v>
      </c>
      <c r="BM68" s="2"/>
    </row>
    <row r="69" spans="1:65" x14ac:dyDescent="0.2">
      <c r="A69">
        <f t="shared" si="6"/>
        <v>2014</v>
      </c>
      <c r="B69" s="2">
        <f t="shared" si="45"/>
        <v>102526.69816620543</v>
      </c>
      <c r="C69" s="2"/>
      <c r="D69" s="2">
        <f t="shared" si="49"/>
        <v>76955.992280510123</v>
      </c>
      <c r="E69" s="2">
        <f t="shared" si="50"/>
        <v>48490.404290835519</v>
      </c>
      <c r="F69" s="2"/>
      <c r="G69" s="2">
        <f t="shared" si="43"/>
        <v>64870.649830824368</v>
      </c>
      <c r="H69" s="2">
        <f t="shared" si="12"/>
        <v>191053.18646917253</v>
      </c>
      <c r="I69" s="2">
        <f t="shared" si="69"/>
        <v>483896.931037548</v>
      </c>
      <c r="J69" s="2">
        <f t="shared" si="13"/>
        <v>22357.344632855034</v>
      </c>
      <c r="K69" s="83">
        <f t="shared" si="14"/>
        <v>4.8440795310787023E-2</v>
      </c>
      <c r="L69" s="7">
        <f t="shared" si="15"/>
        <v>1.048440795310787</v>
      </c>
      <c r="N69">
        <f t="shared" si="16"/>
        <v>2014</v>
      </c>
      <c r="O69" s="2">
        <f t="shared" si="17"/>
        <v>10047.880279825924</v>
      </c>
      <c r="P69" s="2"/>
      <c r="R69">
        <f t="shared" si="18"/>
        <v>2014</v>
      </c>
      <c r="S69" s="2">
        <f t="shared" si="51"/>
        <v>100517.12211024025</v>
      </c>
      <c r="T69" s="2"/>
      <c r="U69" s="2">
        <f t="shared" si="52"/>
        <v>74946.416224544941</v>
      </c>
      <c r="V69" s="2">
        <f t="shared" si="52"/>
        <v>46480.828234870336</v>
      </c>
      <c r="W69" s="2"/>
      <c r="X69" s="2">
        <f t="shared" si="53"/>
        <v>62861.073774859186</v>
      </c>
      <c r="Y69" s="2">
        <f t="shared" si="53"/>
        <v>189043.61041320735</v>
      </c>
      <c r="Z69" s="2">
        <f t="shared" si="21"/>
        <v>473849.05075772211</v>
      </c>
      <c r="AA69" s="2">
        <f t="shared" si="59"/>
        <v>22229.377750033687</v>
      </c>
      <c r="AB69" s="83">
        <f t="shared" si="60"/>
        <v>4.9221455748353224E-2</v>
      </c>
      <c r="AC69" s="7">
        <f t="shared" si="24"/>
        <v>1.0492214557483532</v>
      </c>
      <c r="AD69" s="2">
        <f t="shared" si="25"/>
        <v>0</v>
      </c>
      <c r="AE69" s="2"/>
      <c r="AG69">
        <f t="shared" si="26"/>
        <v>2014</v>
      </c>
      <c r="AH69" s="6">
        <f t="shared" si="58"/>
        <v>0.21212899329333976</v>
      </c>
      <c r="AI69" s="7"/>
      <c r="AJ69" s="6">
        <f t="shared" si="46"/>
        <v>0.15816517117571449</v>
      </c>
      <c r="AK69" s="6">
        <f t="shared" si="46"/>
        <v>9.8092057292388402E-2</v>
      </c>
      <c r="AL69" s="7"/>
      <c r="AM69" s="6">
        <f t="shared" si="61"/>
        <v>0.13266054595728188</v>
      </c>
      <c r="AN69" s="59">
        <f t="shared" si="28"/>
        <v>0.39895323228127538</v>
      </c>
      <c r="AO69" s="6">
        <f t="shared" ref="AO69:AO72" si="72">SUM(AH69:AN69)</f>
        <v>1</v>
      </c>
      <c r="AP69" s="7">
        <f t="shared" ref="AP69:AP72" si="73">SUM(AH69:AM69)</f>
        <v>0.60104676771872456</v>
      </c>
      <c r="AQ69" s="7">
        <f t="shared" si="31"/>
        <v>0</v>
      </c>
      <c r="AR69" s="24"/>
      <c r="AS69">
        <f t="shared" si="32"/>
        <v>2014</v>
      </c>
      <c r="AT69" s="1" t="b">
        <f t="shared" si="33"/>
        <v>1</v>
      </c>
      <c r="AV69" s="1" t="b">
        <f t="shared" si="54"/>
        <v>1</v>
      </c>
      <c r="AW69" s="1" t="b">
        <f t="shared" si="55"/>
        <v>1</v>
      </c>
      <c r="AY69" s="1" t="b">
        <f t="shared" si="44"/>
        <v>1</v>
      </c>
      <c r="AZ69" s="1" t="b">
        <f t="shared" si="36"/>
        <v>1</v>
      </c>
      <c r="BA69" s="1" t="b">
        <f t="shared" si="37"/>
        <v>1</v>
      </c>
      <c r="BC69">
        <f t="shared" si="38"/>
        <v>2014</v>
      </c>
      <c r="BD69" s="2">
        <f t="shared" ref="BD69" si="74">S69</f>
        <v>100517.12211024025</v>
      </c>
      <c r="BE69" s="2"/>
      <c r="BF69" s="2">
        <f t="shared" ref="BF69" si="75">U69</f>
        <v>74946.416224544941</v>
      </c>
      <c r="BG69" s="2">
        <f t="shared" ref="BG69" si="76">V69</f>
        <v>46480.828234870336</v>
      </c>
      <c r="BH69" s="2"/>
      <c r="BI69" s="2">
        <f t="shared" ref="BI69" si="77">X69</f>
        <v>62861.073774859186</v>
      </c>
      <c r="BJ69" s="2">
        <f t="shared" ref="BJ69" si="78">Y69</f>
        <v>189043.61041320735</v>
      </c>
      <c r="BK69" s="2">
        <f t="shared" si="40"/>
        <v>473849.05075772211</v>
      </c>
      <c r="BL69" s="2">
        <f t="shared" si="41"/>
        <v>0</v>
      </c>
      <c r="BM69" s="20"/>
    </row>
    <row r="70" spans="1:65" x14ac:dyDescent="0.2">
      <c r="A70">
        <f t="shared" si="6"/>
        <v>2015</v>
      </c>
      <c r="B70" s="2">
        <f t="shared" si="45"/>
        <v>101773.58613661825</v>
      </c>
      <c r="C70" s="2"/>
      <c r="D70" s="2">
        <f t="shared" si="49"/>
        <v>73852.198547666587</v>
      </c>
      <c r="E70" s="2">
        <f t="shared" si="50"/>
        <v>44723.852927592234</v>
      </c>
      <c r="F70" s="2"/>
      <c r="G70" s="2">
        <f t="shared" si="43"/>
        <v>60114.044850897844</v>
      </c>
      <c r="H70" s="2">
        <f t="shared" si="12"/>
        <v>189610.74124444695</v>
      </c>
      <c r="I70" s="2">
        <f t="shared" ref="I70:I72" si="79">SUM(B70:H70)</f>
        <v>470074.42370722187</v>
      </c>
      <c r="J70" s="2">
        <f t="shared" si="13"/>
        <v>-13822.507330326131</v>
      </c>
      <c r="K70" s="83">
        <f t="shared" si="14"/>
        <v>-2.856498242443611E-2</v>
      </c>
      <c r="L70" s="7">
        <f t="shared" si="15"/>
        <v>0.97143501757556394</v>
      </c>
      <c r="N70">
        <f t="shared" si="16"/>
        <v>2015</v>
      </c>
      <c r="O70" s="2">
        <f t="shared" si="17"/>
        <v>10092.090953057157</v>
      </c>
      <c r="P70" s="2"/>
      <c r="R70">
        <f t="shared" si="18"/>
        <v>2015</v>
      </c>
      <c r="S70" s="2">
        <f t="shared" si="51"/>
        <v>99755.167946006826</v>
      </c>
      <c r="T70" s="2"/>
      <c r="U70" s="2">
        <f t="shared" si="52"/>
        <v>71833.780357055162</v>
      </c>
      <c r="V70" s="2">
        <f t="shared" si="52"/>
        <v>42705.434736980802</v>
      </c>
      <c r="W70" s="2"/>
      <c r="X70" s="2">
        <f t="shared" si="53"/>
        <v>58095.626660286413</v>
      </c>
      <c r="Y70" s="2">
        <f t="shared" si="53"/>
        <v>187592.32305383551</v>
      </c>
      <c r="Z70" s="2">
        <f t="shared" si="21"/>
        <v>459982.3327541647</v>
      </c>
      <c r="AA70" s="2">
        <f t="shared" si="59"/>
        <v>-13866.718003557413</v>
      </c>
      <c r="AB70" s="83">
        <f t="shared" si="60"/>
        <v>-2.9263998696174305E-2</v>
      </c>
      <c r="AC70" s="7">
        <f t="shared" si="24"/>
        <v>0.97073600130382565</v>
      </c>
      <c r="AD70" s="2">
        <f t="shared" si="25"/>
        <v>0</v>
      </c>
      <c r="AE70" s="2"/>
      <c r="AG70">
        <f t="shared" si="26"/>
        <v>2015</v>
      </c>
      <c r="AH70" s="6">
        <f t="shared" si="58"/>
        <v>0.21686738999021618</v>
      </c>
      <c r="AI70" s="7"/>
      <c r="AJ70" s="6">
        <f t="shared" ref="AJ70:AK72" si="80">U70/$Z70</f>
        <v>0.15616638997186524</v>
      </c>
      <c r="AK70" s="6">
        <f t="shared" si="80"/>
        <v>9.2841467369583763E-2</v>
      </c>
      <c r="AL70" s="7"/>
      <c r="AM70" s="6">
        <f t="shared" si="61"/>
        <v>0.12629969136517974</v>
      </c>
      <c r="AN70" s="6">
        <f t="shared" si="28"/>
        <v>0.4078250613031551</v>
      </c>
      <c r="AO70" s="6">
        <f t="shared" si="72"/>
        <v>1</v>
      </c>
      <c r="AP70" s="7">
        <f t="shared" si="73"/>
        <v>0.5921749386968449</v>
      </c>
      <c r="AQ70" s="7">
        <f t="shared" si="31"/>
        <v>0</v>
      </c>
      <c r="AR70" s="24"/>
      <c r="AS70">
        <f t="shared" si="32"/>
        <v>2015</v>
      </c>
      <c r="AT70" s="1" t="b">
        <f t="shared" si="33"/>
        <v>1</v>
      </c>
      <c r="AV70" s="1" t="b">
        <f t="shared" si="54"/>
        <v>1</v>
      </c>
      <c r="AW70" s="1" t="b">
        <f t="shared" si="55"/>
        <v>1</v>
      </c>
      <c r="AY70" s="1" t="b">
        <f t="shared" si="44"/>
        <v>1</v>
      </c>
      <c r="AZ70" s="1" t="b">
        <f t="shared" si="36"/>
        <v>1</v>
      </c>
      <c r="BA70" s="1" t="b">
        <f t="shared" si="37"/>
        <v>1</v>
      </c>
      <c r="BC70">
        <f t="shared" si="38"/>
        <v>2015</v>
      </c>
      <c r="BD70" s="2">
        <f t="shared" ref="BD70:BD72" si="81">S70</f>
        <v>99755.167946006826</v>
      </c>
      <c r="BE70" s="2"/>
      <c r="BF70" s="2">
        <f t="shared" ref="BF70:BG72" si="82">U70</f>
        <v>71833.780357055162</v>
      </c>
      <c r="BG70" s="2">
        <f t="shared" si="82"/>
        <v>42705.434736980802</v>
      </c>
      <c r="BH70" s="2"/>
      <c r="BI70" s="2">
        <f t="shared" ref="BI70:BJ72" si="83">X70</f>
        <v>58095.626660286413</v>
      </c>
      <c r="BJ70" s="2">
        <f t="shared" si="83"/>
        <v>187592.32305383551</v>
      </c>
      <c r="BK70" s="2">
        <f t="shared" si="40"/>
        <v>459982.3327541647</v>
      </c>
      <c r="BL70" s="2">
        <f t="shared" si="41"/>
        <v>0</v>
      </c>
      <c r="BM70" s="20"/>
    </row>
    <row r="71" spans="1:65" x14ac:dyDescent="0.2">
      <c r="A71">
        <f t="shared" si="6"/>
        <v>2016</v>
      </c>
      <c r="B71" s="2">
        <f t="shared" si="45"/>
        <v>111546.22879722485</v>
      </c>
      <c r="C71" s="2"/>
      <c r="D71" s="2">
        <f t="shared" si="49"/>
        <v>79785.779842581163</v>
      </c>
      <c r="E71" s="2">
        <f t="shared" si="50"/>
        <v>50465.012228690211</v>
      </c>
      <c r="F71" s="2"/>
      <c r="G71" s="2">
        <f t="shared" si="43"/>
        <v>60797.07329998973</v>
      </c>
      <c r="H71" s="2">
        <f t="shared" si="12"/>
        <v>192282.1311301814</v>
      </c>
      <c r="I71" s="2">
        <f t="shared" si="79"/>
        <v>494876.22529866733</v>
      </c>
      <c r="J71" s="2">
        <f t="shared" si="13"/>
        <v>24801.801591445459</v>
      </c>
      <c r="K71" s="83">
        <f t="shared" si="14"/>
        <v>5.2761435935712288E-2</v>
      </c>
      <c r="L71" s="7">
        <f t="shared" si="15"/>
        <v>1.0527614359357123</v>
      </c>
      <c r="N71">
        <f t="shared" si="16"/>
        <v>2016</v>
      </c>
      <c r="O71" s="2">
        <f t="shared" si="17"/>
        <v>10263.656499259128</v>
      </c>
      <c r="P71" s="2"/>
      <c r="R71">
        <f t="shared" si="18"/>
        <v>2016</v>
      </c>
      <c r="S71" s="2">
        <f t="shared" si="51"/>
        <v>109493.49749737301</v>
      </c>
      <c r="T71" s="2"/>
      <c r="U71" s="2">
        <f t="shared" ref="U71:V72" si="84">D71-($O71/5)</f>
        <v>77733.048542729332</v>
      </c>
      <c r="V71" s="2">
        <f t="shared" si="84"/>
        <v>48412.280928838387</v>
      </c>
      <c r="W71" s="2"/>
      <c r="X71" s="2">
        <f t="shared" ref="X71:Y72" si="85">G71-($O71/5)</f>
        <v>58744.342000137905</v>
      </c>
      <c r="Y71" s="2">
        <f t="shared" si="85"/>
        <v>190229.39983032958</v>
      </c>
      <c r="Z71" s="2">
        <f t="shared" si="21"/>
        <v>484612.56879940821</v>
      </c>
      <c r="AA71" s="2">
        <f t="shared" si="59"/>
        <v>24630.23604524351</v>
      </c>
      <c r="AB71" s="83">
        <f t="shared" si="60"/>
        <v>5.3546047948774197E-2</v>
      </c>
      <c r="AC71" s="7">
        <f t="shared" si="24"/>
        <v>1.0535460479487742</v>
      </c>
      <c r="AD71" s="2">
        <f t="shared" si="25"/>
        <v>0</v>
      </c>
      <c r="AE71" s="2"/>
      <c r="AG71">
        <f t="shared" si="26"/>
        <v>2016</v>
      </c>
      <c r="AH71" s="6">
        <f t="shared" si="58"/>
        <v>0.22594027589634139</v>
      </c>
      <c r="AI71" s="7"/>
      <c r="AJ71" s="6">
        <f t="shared" si="80"/>
        <v>0.16040246074365591</v>
      </c>
      <c r="AK71" s="6">
        <f t="shared" si="80"/>
        <v>9.989893792638567E-2</v>
      </c>
      <c r="AL71" s="7"/>
      <c r="AM71" s="6">
        <f t="shared" si="61"/>
        <v>0.12121918782600433</v>
      </c>
      <c r="AN71" s="6">
        <f t="shared" si="28"/>
        <v>0.39253913760761272</v>
      </c>
      <c r="AO71" s="6">
        <f t="shared" si="72"/>
        <v>1</v>
      </c>
      <c r="AP71" s="7">
        <f t="shared" si="73"/>
        <v>0.60746086239238728</v>
      </c>
      <c r="AQ71" s="7">
        <f t="shared" si="31"/>
        <v>0</v>
      </c>
      <c r="AR71" s="24"/>
      <c r="AS71">
        <f t="shared" si="32"/>
        <v>2016</v>
      </c>
      <c r="AT71" s="1" t="b">
        <f t="shared" si="33"/>
        <v>1</v>
      </c>
      <c r="AV71" s="1" t="b">
        <f t="shared" si="54"/>
        <v>1</v>
      </c>
      <c r="AW71" s="1" t="b">
        <f t="shared" si="55"/>
        <v>1</v>
      </c>
      <c r="AY71" s="1" t="b">
        <f t="shared" si="44"/>
        <v>1</v>
      </c>
      <c r="AZ71" s="1" t="b">
        <f t="shared" si="36"/>
        <v>1</v>
      </c>
      <c r="BA71" s="1" t="b">
        <f t="shared" si="37"/>
        <v>1</v>
      </c>
      <c r="BC71">
        <f t="shared" si="38"/>
        <v>2016</v>
      </c>
      <c r="BD71" s="2">
        <f t="shared" si="81"/>
        <v>109493.49749737301</v>
      </c>
      <c r="BE71" s="2"/>
      <c r="BF71" s="2">
        <f t="shared" si="82"/>
        <v>77733.048542729332</v>
      </c>
      <c r="BG71" s="2">
        <f t="shared" si="82"/>
        <v>48412.280928838387</v>
      </c>
      <c r="BH71" s="2"/>
      <c r="BI71" s="2">
        <f t="shared" si="83"/>
        <v>58744.342000137905</v>
      </c>
      <c r="BJ71" s="2">
        <f t="shared" si="83"/>
        <v>190229.39983032958</v>
      </c>
      <c r="BK71" s="2">
        <f t="shared" si="40"/>
        <v>484612.56879940821</v>
      </c>
      <c r="BL71" s="2">
        <f t="shared" si="41"/>
        <v>0</v>
      </c>
      <c r="BM71" s="20"/>
    </row>
    <row r="72" spans="1:65" x14ac:dyDescent="0.2">
      <c r="A72">
        <f t="shared" si="6"/>
        <v>2017</v>
      </c>
      <c r="B72" s="2">
        <f t="shared" si="45"/>
        <v>133220.73840505374</v>
      </c>
      <c r="C72" s="2"/>
      <c r="D72" s="2">
        <f t="shared" si="49"/>
        <v>92968.726057104272</v>
      </c>
      <c r="E72" s="2">
        <f t="shared" si="50"/>
        <v>56206.658158381368</v>
      </c>
      <c r="F72" s="2"/>
      <c r="G72" s="2">
        <f t="shared" si="43"/>
        <v>74840.29170817569</v>
      </c>
      <c r="H72" s="2">
        <f t="shared" si="12"/>
        <v>196811.33706445899</v>
      </c>
      <c r="I72" s="2">
        <f t="shared" si="79"/>
        <v>554047.75139317405</v>
      </c>
      <c r="J72" s="2">
        <f t="shared" si="13"/>
        <v>59171.526094506728</v>
      </c>
      <c r="K72" s="83">
        <f t="shared" si="14"/>
        <v>0.11956833460487129</v>
      </c>
      <c r="L72" s="7">
        <f t="shared" si="15"/>
        <v>1.1195683346048713</v>
      </c>
      <c r="N72">
        <f t="shared" si="16"/>
        <v>2017</v>
      </c>
      <c r="O72" s="2">
        <f t="shared" si="17"/>
        <v>10492.536039192606</v>
      </c>
      <c r="P72" s="2"/>
      <c r="R72">
        <f t="shared" si="18"/>
        <v>2017</v>
      </c>
      <c r="S72" s="2">
        <f t="shared" si="51"/>
        <v>131122.23119721521</v>
      </c>
      <c r="T72" s="2"/>
      <c r="U72" s="2">
        <f t="shared" si="84"/>
        <v>90870.218849265744</v>
      </c>
      <c r="V72" s="2">
        <f t="shared" si="84"/>
        <v>54108.150950542848</v>
      </c>
      <c r="W72" s="2"/>
      <c r="X72" s="2">
        <f t="shared" si="85"/>
        <v>72741.784500337162</v>
      </c>
      <c r="Y72" s="2">
        <f t="shared" si="85"/>
        <v>194712.82985662046</v>
      </c>
      <c r="Z72" s="2">
        <f t="shared" si="21"/>
        <v>543555.21535398136</v>
      </c>
      <c r="AA72" s="2">
        <f t="shared" si="59"/>
        <v>58942.646554573148</v>
      </c>
      <c r="AB72" s="83">
        <f t="shared" si="60"/>
        <v>0.12162839007787024</v>
      </c>
      <c r="AC72" s="7">
        <f t="shared" si="24"/>
        <v>1.1216283900778703</v>
      </c>
      <c r="AD72" s="2">
        <f t="shared" si="25"/>
        <v>0</v>
      </c>
      <c r="AE72" s="2"/>
      <c r="AG72">
        <f t="shared" si="26"/>
        <v>2017</v>
      </c>
      <c r="AH72" s="6">
        <f t="shared" si="58"/>
        <v>0.24123074803324998</v>
      </c>
      <c r="AI72" s="7"/>
      <c r="AJ72" s="6">
        <f t="shared" si="80"/>
        <v>0.16717753097095758</v>
      </c>
      <c r="AK72" s="6">
        <f t="shared" si="80"/>
        <v>9.9544902563957205E-2</v>
      </c>
      <c r="AL72" s="7"/>
      <c r="AM72" s="6">
        <f t="shared" si="61"/>
        <v>0.13382593423000325</v>
      </c>
      <c r="AN72" s="6">
        <f t="shared" si="28"/>
        <v>0.35822088420183207</v>
      </c>
      <c r="AO72" s="6">
        <f t="shared" si="72"/>
        <v>1</v>
      </c>
      <c r="AP72" s="7">
        <f t="shared" si="73"/>
        <v>0.64177911579816804</v>
      </c>
      <c r="AQ72" s="7">
        <f t="shared" si="31"/>
        <v>0</v>
      </c>
      <c r="AR72" s="24"/>
      <c r="AS72">
        <f t="shared" si="32"/>
        <v>2017</v>
      </c>
      <c r="AT72" s="1" t="b">
        <f t="shared" si="33"/>
        <v>1</v>
      </c>
      <c r="AV72" s="1" t="b">
        <f t="shared" si="54"/>
        <v>1</v>
      </c>
      <c r="AW72" s="1" t="b">
        <f t="shared" si="55"/>
        <v>1</v>
      </c>
      <c r="AY72" s="1" t="b">
        <f t="shared" si="44"/>
        <v>1</v>
      </c>
      <c r="AZ72" s="1" t="b">
        <f t="shared" si="36"/>
        <v>1</v>
      </c>
      <c r="BA72" s="1" t="b">
        <f t="shared" si="37"/>
        <v>1</v>
      </c>
      <c r="BC72">
        <f t="shared" si="38"/>
        <v>2017</v>
      </c>
      <c r="BD72" s="2">
        <f t="shared" si="81"/>
        <v>131122.23119721521</v>
      </c>
      <c r="BE72" s="2"/>
      <c r="BF72" s="2">
        <f t="shared" si="82"/>
        <v>90870.218849265744</v>
      </c>
      <c r="BG72" s="2">
        <f t="shared" si="82"/>
        <v>54108.150950542848</v>
      </c>
      <c r="BH72" s="2"/>
      <c r="BI72" s="2">
        <f t="shared" si="83"/>
        <v>72741.784500337162</v>
      </c>
      <c r="BJ72" s="2">
        <f t="shared" si="83"/>
        <v>194712.82985662046</v>
      </c>
      <c r="BK72" s="2">
        <f t="shared" si="40"/>
        <v>543555.21535398136</v>
      </c>
      <c r="BL72" s="2">
        <f t="shared" si="41"/>
        <v>0</v>
      </c>
      <c r="BM72" s="20"/>
    </row>
    <row r="73" spans="1:65" x14ac:dyDescent="0.2">
      <c r="A73" s="84">
        <f t="shared" si="6"/>
        <v>2018</v>
      </c>
      <c r="B73" s="85">
        <f t="shared" si="45"/>
        <v>125221.73079334052</v>
      </c>
      <c r="C73" s="85"/>
      <c r="D73" s="85">
        <f t="shared" si="49"/>
        <v>82419.288496284033</v>
      </c>
      <c r="E73" s="85">
        <f t="shared" si="50"/>
        <v>49021.984761191823</v>
      </c>
      <c r="F73" s="85"/>
      <c r="G73" s="85">
        <f t="shared" si="43"/>
        <v>62194.225747788274</v>
      </c>
      <c r="H73" s="85">
        <f t="shared" si="12"/>
        <v>194518.11702676385</v>
      </c>
      <c r="I73" s="85">
        <f t="shared" ref="I73" si="86">SUM(B73:H73)</f>
        <v>513375.34682536853</v>
      </c>
      <c r="J73" s="85">
        <f>I73-I72</f>
        <v>-40672.404567805526</v>
      </c>
      <c r="K73" s="83">
        <f>(J73/I72)</f>
        <v>-7.340956526857699E-2</v>
      </c>
      <c r="L73" s="86">
        <f t="shared" ref="L73" si="87">K73+1</f>
        <v>0.926590434731423</v>
      </c>
      <c r="N73">
        <f t="shared" ref="N73" si="88">A73</f>
        <v>2018</v>
      </c>
      <c r="O73" s="2">
        <f t="shared" si="17"/>
        <v>10724.303056237877</v>
      </c>
      <c r="P73" s="2"/>
      <c r="R73">
        <f t="shared" ref="R73" si="89">A73</f>
        <v>2018</v>
      </c>
      <c r="S73" s="2">
        <f t="shared" ref="S73" si="90">B73-($O73/5)</f>
        <v>123076.87018209294</v>
      </c>
      <c r="T73" s="2"/>
      <c r="U73" s="2">
        <f t="shared" ref="U73" si="91">D73-($O73/5)</f>
        <v>80274.42788503645</v>
      </c>
      <c r="V73" s="2">
        <f t="shared" ref="V73" si="92">E73-($O73/5)</f>
        <v>46877.124149944248</v>
      </c>
      <c r="W73" s="2"/>
      <c r="X73" s="2">
        <f t="shared" ref="X73" si="93">G73-($O73/5)</f>
        <v>60049.365136540699</v>
      </c>
      <c r="Y73" s="2">
        <f t="shared" ref="Y73" si="94">H73-($O73/5)</f>
        <v>192373.25641551628</v>
      </c>
      <c r="Z73" s="2">
        <f t="shared" ref="Z73" si="95">SUM(S73:Y73)</f>
        <v>502651.0437691306</v>
      </c>
      <c r="AA73" s="2">
        <f>Z73-Z72</f>
        <v>-40904.171584850759</v>
      </c>
      <c r="AB73" s="83">
        <f>(AA73/Z72)</f>
        <v>-7.5253020170568313E-2</v>
      </c>
      <c r="AC73" s="7">
        <f t="shared" ref="AC73" si="96">AB73+1</f>
        <v>0.92474697982943166</v>
      </c>
      <c r="AD73" s="2">
        <f t="shared" ref="AD73" si="97">Z73-(I73-O73)</f>
        <v>0</v>
      </c>
      <c r="AE73" s="2"/>
      <c r="AG73">
        <f t="shared" ref="AG73" si="98">A73</f>
        <v>2018</v>
      </c>
      <c r="AH73" s="6">
        <f t="shared" ref="AH73" si="99">S73/$Z73</f>
        <v>0.24485549509496807</v>
      </c>
      <c r="AI73" s="7"/>
      <c r="AJ73" s="6">
        <f t="shared" ref="AJ73" si="100">U73/$Z73</f>
        <v>0.15970210124920536</v>
      </c>
      <c r="AK73" s="6">
        <f t="shared" ref="AK73" si="101">V73/$Z73</f>
        <v>9.3259776799498845E-2</v>
      </c>
      <c r="AL73" s="7"/>
      <c r="AM73" s="6">
        <f t="shared" ref="AM73" si="102">X73/$Z73</f>
        <v>0.1194653147166677</v>
      </c>
      <c r="AN73" s="6">
        <f t="shared" ref="AN73" si="103">Y73/$Z73</f>
        <v>0.38271731213966004</v>
      </c>
      <c r="AO73" s="6">
        <f t="shared" ref="AO73" si="104">SUM(AH73:AN73)</f>
        <v>1</v>
      </c>
      <c r="AP73" s="7">
        <f t="shared" ref="AP73" si="105">SUM(AH73:AM73)</f>
        <v>0.61728268786033991</v>
      </c>
      <c r="AQ73" s="7">
        <f t="shared" ref="AQ73" si="106">AO73-(AP73+AN73)</f>
        <v>0</v>
      </c>
      <c r="AR73" s="24"/>
      <c r="AS73">
        <f t="shared" ref="AS73" si="107">AG73</f>
        <v>2018</v>
      </c>
      <c r="AT73" s="1" t="b">
        <f t="shared" ref="AT73" si="108">AND((S73/$Z73)&gt;0.15,(S73/$Z73)&lt;0.25)</f>
        <v>1</v>
      </c>
      <c r="AV73" s="1" t="b">
        <f t="shared" si="54"/>
        <v>1</v>
      </c>
      <c r="AW73" s="1" t="b">
        <f t="shared" ref="AW73" si="109">AND((V73/$Z73)&gt;0.05,(V73/$Z73)&lt;0.15)</f>
        <v>1</v>
      </c>
      <c r="AY73" s="1" t="b">
        <f t="shared" si="44"/>
        <v>1</v>
      </c>
      <c r="AZ73" s="1" t="b">
        <f t="shared" si="36"/>
        <v>1</v>
      </c>
      <c r="BA73" s="1" t="b">
        <f t="shared" ref="BA73" si="110">AND((Z73/$Z73)&gt;0.999,(Z73/$Z73)&lt;1.01)</f>
        <v>1</v>
      </c>
      <c r="BC73">
        <f t="shared" ref="BC73" si="111">AS73</f>
        <v>2018</v>
      </c>
      <c r="BD73" s="2">
        <f t="shared" ref="BD73" si="112">S73</f>
        <v>123076.87018209294</v>
      </c>
      <c r="BE73" s="2"/>
      <c r="BF73" s="2">
        <f t="shared" ref="BF73" si="113">U73</f>
        <v>80274.42788503645</v>
      </c>
      <c r="BG73" s="2">
        <f t="shared" ref="BG73" si="114">V73</f>
        <v>46877.124149944248</v>
      </c>
      <c r="BH73" s="2"/>
      <c r="BI73" s="2">
        <f t="shared" ref="BI73" si="115">X73</f>
        <v>60049.365136540699</v>
      </c>
      <c r="BJ73" s="2">
        <f t="shared" ref="BJ73" si="116">Y73</f>
        <v>192373.25641551628</v>
      </c>
      <c r="BK73" s="2">
        <f t="shared" ref="BK73" si="117">Z73</f>
        <v>502651.0437691306</v>
      </c>
      <c r="BL73" s="2">
        <f t="shared" ref="BL73" si="118">SUM(BD73:BJ73)-Z73</f>
        <v>0</v>
      </c>
      <c r="BM73" s="20"/>
    </row>
    <row r="74" spans="1:65" x14ac:dyDescent="0.2">
      <c r="A74" s="84">
        <f t="shared" ref="A74:A75" si="119">A35</f>
        <v>2019</v>
      </c>
      <c r="B74" s="85">
        <f t="shared" ref="B74:B75" si="120">BD73*(1+(B35/100))</f>
        <v>161791.93046657208</v>
      </c>
      <c r="C74" s="85"/>
      <c r="D74" s="85">
        <f t="shared" ref="D74:E74" si="121">BF73*(1+(D35/100))</f>
        <v>105184.86724860943</v>
      </c>
      <c r="E74" s="85">
        <f t="shared" si="121"/>
        <v>59706.174224556089</v>
      </c>
      <c r="F74" s="85"/>
      <c r="G74" s="85">
        <f t="shared" ref="G74:H74" si="122">BI73*(1+(G35/100))</f>
        <v>72964.782590107861</v>
      </c>
      <c r="H74" s="85">
        <f t="shared" si="122"/>
        <v>209136.66197956438</v>
      </c>
      <c r="I74" s="85">
        <f t="shared" ref="I74:I75" si="123">SUM(B74:H74)</f>
        <v>608784.41650940978</v>
      </c>
      <c r="J74" s="85">
        <f t="shared" ref="J74:J75" si="124">I74-I73</f>
        <v>95409.069684041257</v>
      </c>
      <c r="K74" s="83">
        <f t="shared" ref="K74:K75" si="125">(J74/I73)</f>
        <v>0.18584661354316245</v>
      </c>
      <c r="L74" s="86">
        <f t="shared" ref="L74:L75" si="126">K74+1</f>
        <v>1.1858466135431625</v>
      </c>
      <c r="N74">
        <f t="shared" ref="N74:N75" si="127">A74</f>
        <v>2019</v>
      </c>
      <c r="O74" s="2">
        <f t="shared" ref="O74:O75" si="128">O73*(1+O35)</f>
        <v>10969.492544566767</v>
      </c>
      <c r="P74" s="2"/>
      <c r="R74">
        <f t="shared" ref="R74:R75" si="129">A74</f>
        <v>2019</v>
      </c>
      <c r="S74" s="2">
        <f t="shared" ref="S74:S75" si="130">B74-($O74/5)</f>
        <v>159598.03195765874</v>
      </c>
      <c r="T74" s="2"/>
      <c r="U74" s="2">
        <f t="shared" ref="U74:U75" si="131">D74-($O74/5)</f>
        <v>102990.96873969608</v>
      </c>
      <c r="V74" s="2">
        <f t="shared" ref="V74:V75" si="132">E74-($O74/5)</f>
        <v>57512.275715642732</v>
      </c>
      <c r="W74" s="2"/>
      <c r="X74" s="2">
        <f t="shared" ref="X74:X75" si="133">G74-($O74/5)</f>
        <v>70770.884081194512</v>
      </c>
      <c r="Y74" s="2">
        <f t="shared" ref="Y74:Y75" si="134">H74-($O74/5)</f>
        <v>206942.76347065103</v>
      </c>
      <c r="Z74" s="2">
        <f t="shared" ref="Z74:Z75" si="135">SUM(S74:Y74)</f>
        <v>597814.92396484304</v>
      </c>
      <c r="AA74" s="2">
        <f t="shared" ref="AA74:AA75" si="136">Z74-Z73</f>
        <v>95163.880195712438</v>
      </c>
      <c r="AB74" s="83">
        <f t="shared" ref="AB74:AB75" si="137">(AA74/Z73)</f>
        <v>0.18932394824474202</v>
      </c>
      <c r="AC74" s="7">
        <f t="shared" ref="AC74:AC75" si="138">AB74+1</f>
        <v>1.189323948244742</v>
      </c>
      <c r="AD74" s="2">
        <f t="shared" ref="AD74:AD75" si="139">Z74-(I74-O74)</f>
        <v>0</v>
      </c>
      <c r="AE74" s="2"/>
      <c r="AG74">
        <f t="shared" ref="AG74:AG75" si="140">A74</f>
        <v>2019</v>
      </c>
      <c r="AH74" s="6">
        <f t="shared" ref="AH74:AH75" si="141">S74/$Z74</f>
        <v>0.26696896574473034</v>
      </c>
      <c r="AI74" s="7"/>
      <c r="AJ74" s="6">
        <f t="shared" ref="AJ74:AJ75" si="142">U74/$Z74</f>
        <v>0.17227901915970384</v>
      </c>
      <c r="AK74" s="6">
        <f t="shared" ref="AK74:AK75" si="143">V74/$Z74</f>
        <v>9.6204148491657565E-2</v>
      </c>
      <c r="AL74" s="7"/>
      <c r="AM74" s="6">
        <f t="shared" ref="AM74:AM75" si="144">X74/$Z74</f>
        <v>0.1183825984333514</v>
      </c>
      <c r="AN74" s="6">
        <f t="shared" ref="AN74:AN75" si="145">Y74/$Z74</f>
        <v>0.34616526817055698</v>
      </c>
      <c r="AO74" s="6">
        <f t="shared" ref="AO74:AO75" si="146">SUM(AH74:AN74)</f>
        <v>1.0000000000000002</v>
      </c>
      <c r="AP74" s="7">
        <f t="shared" ref="AP74:AP75" si="147">SUM(AH74:AM74)</f>
        <v>0.65383473182944318</v>
      </c>
      <c r="AQ74" s="7">
        <f t="shared" ref="AQ74:AQ75" si="148">AO74-(AP74+AN74)</f>
        <v>0</v>
      </c>
      <c r="AR74" s="24"/>
      <c r="AS74">
        <f t="shared" ref="AS74:AS75" si="149">AG74</f>
        <v>2019</v>
      </c>
      <c r="AT74" s="1" t="b">
        <f t="shared" ref="AT74:AT75" si="150">AND((S74/$Z74)&gt;0.15,(S74/$Z74)&lt;0.25)</f>
        <v>0</v>
      </c>
      <c r="AV74" s="1" t="b">
        <f t="shared" si="54"/>
        <v>1</v>
      </c>
      <c r="AW74" s="1" t="b">
        <f t="shared" ref="AW74:AW75" si="151">AND((V74/$Z74)&gt;0.05,(V74/$Z74)&lt;0.15)</f>
        <v>1</v>
      </c>
      <c r="AY74" s="1" t="b">
        <f t="shared" si="44"/>
        <v>1</v>
      </c>
      <c r="AZ74" s="39" t="b">
        <f t="shared" si="36"/>
        <v>0</v>
      </c>
      <c r="BA74" s="1" t="b">
        <f t="shared" ref="BA74:BA75" si="152">AND((Z74/$Z74)&gt;0.999,(Z74/$Z74)&lt;1.01)</f>
        <v>1</v>
      </c>
      <c r="BC74">
        <f t="shared" ref="BC74:BC75" si="153">AS74</f>
        <v>2019</v>
      </c>
      <c r="BD74" s="27">
        <f>$BK74*BD$42</f>
        <v>119562.98479296861</v>
      </c>
      <c r="BE74" s="2"/>
      <c r="BF74" s="27">
        <f t="shared" ref="BF74:BG74" si="154">$BK74*BF$42</f>
        <v>89672.238594726456</v>
      </c>
      <c r="BG74" s="27">
        <f t="shared" si="154"/>
        <v>59781.492396484304</v>
      </c>
      <c r="BH74" s="2"/>
      <c r="BI74" s="27">
        <f>$BK74*BI$42</f>
        <v>89672.238594726456</v>
      </c>
      <c r="BJ74" s="27">
        <f t="shared" ref="BJ74" si="155">$BK74*BJ$42</f>
        <v>239125.96958593722</v>
      </c>
      <c r="BK74" s="2">
        <f t="shared" ref="BK74:BK75" si="156">Z74</f>
        <v>597814.92396484304</v>
      </c>
      <c r="BL74" s="2">
        <f t="shared" ref="BL74:BL75" si="157">SUM(BD74:BJ74)-Z74</f>
        <v>0</v>
      </c>
      <c r="BM74" s="20"/>
    </row>
    <row r="75" spans="1:65" x14ac:dyDescent="0.2">
      <c r="A75" s="84">
        <f t="shared" si="119"/>
        <v>2020</v>
      </c>
      <c r="B75" s="85">
        <f t="shared" si="120"/>
        <v>141526.70509943695</v>
      </c>
      <c r="C75" s="85"/>
      <c r="D75" s="85">
        <f t="shared" ref="D75:E75" si="158">BF74*(1+(D36/100))</f>
        <v>106028.45491440454</v>
      </c>
      <c r="E75" s="85">
        <f t="shared" si="158"/>
        <v>71205.735593452453</v>
      </c>
      <c r="F75" s="85"/>
      <c r="G75" s="85">
        <f t="shared" ref="G75:H75" si="159">BI74*(1+(G36/100))</f>
        <v>99787.267108211599</v>
      </c>
      <c r="H75" s="85">
        <f t="shared" si="159"/>
        <v>257586.49443797156</v>
      </c>
      <c r="I75" s="85">
        <f t="shared" si="123"/>
        <v>676134.65715347708</v>
      </c>
      <c r="J75" s="85">
        <f t="shared" si="124"/>
        <v>67350.240644067293</v>
      </c>
      <c r="K75" s="83">
        <f t="shared" si="125"/>
        <v>0.11063069095991927</v>
      </c>
      <c r="L75" s="86">
        <f t="shared" si="126"/>
        <v>1.1106306909599193</v>
      </c>
      <c r="N75">
        <f t="shared" si="127"/>
        <v>2020</v>
      </c>
      <c r="O75" s="2">
        <f t="shared" si="128"/>
        <v>11094.414029963191</v>
      </c>
      <c r="P75" s="2"/>
      <c r="R75">
        <f t="shared" si="129"/>
        <v>2020</v>
      </c>
      <c r="S75" s="2">
        <f t="shared" si="130"/>
        <v>139307.8222934443</v>
      </c>
      <c r="T75" s="2"/>
      <c r="U75" s="2">
        <f t="shared" si="131"/>
        <v>103809.5721084119</v>
      </c>
      <c r="V75" s="2">
        <f t="shared" si="132"/>
        <v>68986.852787459822</v>
      </c>
      <c r="W75" s="2"/>
      <c r="X75" s="2">
        <f t="shared" si="133"/>
        <v>97568.384302218969</v>
      </c>
      <c r="Y75" s="2">
        <f t="shared" si="134"/>
        <v>255367.61163197891</v>
      </c>
      <c r="Z75" s="2">
        <f t="shared" si="135"/>
        <v>665040.24312351388</v>
      </c>
      <c r="AA75" s="2">
        <f t="shared" si="136"/>
        <v>67225.319158670842</v>
      </c>
      <c r="AB75" s="83">
        <f t="shared" si="137"/>
        <v>0.11245172454514418</v>
      </c>
      <c r="AC75" s="7">
        <f t="shared" si="138"/>
        <v>1.1124517245451442</v>
      </c>
      <c r="AD75" s="2">
        <f t="shared" si="139"/>
        <v>0</v>
      </c>
      <c r="AE75" s="2"/>
      <c r="AG75">
        <f t="shared" si="140"/>
        <v>2020</v>
      </c>
      <c r="AH75" s="6">
        <f t="shared" si="141"/>
        <v>0.20947277060881789</v>
      </c>
      <c r="AI75" s="7"/>
      <c r="AJ75" s="6">
        <f t="shared" si="142"/>
        <v>0.15609517346025026</v>
      </c>
      <c r="AK75" s="6">
        <f t="shared" si="143"/>
        <v>0.10373335072693836</v>
      </c>
      <c r="AL75" s="7"/>
      <c r="AM75" s="6">
        <f t="shared" si="144"/>
        <v>0.14671049656178203</v>
      </c>
      <c r="AN75" s="6">
        <f t="shared" si="145"/>
        <v>0.3839882086422115</v>
      </c>
      <c r="AO75" s="6">
        <f t="shared" si="146"/>
        <v>1</v>
      </c>
      <c r="AP75" s="7">
        <f t="shared" si="147"/>
        <v>0.6160117913577885</v>
      </c>
      <c r="AQ75" s="7">
        <f t="shared" si="148"/>
        <v>0</v>
      </c>
      <c r="AR75" s="24"/>
      <c r="AS75">
        <f t="shared" si="149"/>
        <v>2020</v>
      </c>
      <c r="AT75" s="1" t="b">
        <f t="shared" si="150"/>
        <v>1</v>
      </c>
      <c r="AV75" s="1" t="b">
        <f t="shared" si="54"/>
        <v>1</v>
      </c>
      <c r="AW75" s="1" t="b">
        <f t="shared" si="151"/>
        <v>1</v>
      </c>
      <c r="AY75" s="1" t="b">
        <f t="shared" si="44"/>
        <v>1</v>
      </c>
      <c r="AZ75" s="1" t="b">
        <f t="shared" si="36"/>
        <v>1</v>
      </c>
      <c r="BA75" s="1" t="b">
        <f t="shared" si="152"/>
        <v>1</v>
      </c>
      <c r="BC75">
        <f t="shared" si="153"/>
        <v>2020</v>
      </c>
      <c r="BD75" s="2">
        <f t="shared" ref="BD75" si="160">S75</f>
        <v>139307.8222934443</v>
      </c>
      <c r="BE75" s="2"/>
      <c r="BF75" s="2">
        <f t="shared" ref="BF75" si="161">U75</f>
        <v>103809.5721084119</v>
      </c>
      <c r="BG75" s="2">
        <f t="shared" ref="BG75" si="162">V75</f>
        <v>68986.852787459822</v>
      </c>
      <c r="BH75" s="2"/>
      <c r="BI75" s="2">
        <f t="shared" ref="BI75" si="163">X75</f>
        <v>97568.384302218969</v>
      </c>
      <c r="BJ75" s="2">
        <f t="shared" ref="BJ75" si="164">Y75</f>
        <v>255367.61163197891</v>
      </c>
      <c r="BK75" s="2">
        <f t="shared" si="156"/>
        <v>665040.24312351388</v>
      </c>
      <c r="BL75" s="2">
        <f t="shared" si="157"/>
        <v>0</v>
      </c>
      <c r="BM75" s="20"/>
    </row>
    <row r="76" spans="1:65" x14ac:dyDescent="0.2">
      <c r="A76" s="9" t="s">
        <v>94</v>
      </c>
      <c r="B76" s="10">
        <f>BD75</f>
        <v>139307.8222934443</v>
      </c>
      <c r="C76" s="10"/>
      <c r="D76" s="10">
        <f t="shared" ref="D76:E76" si="165">BF75</f>
        <v>103809.5721084119</v>
      </c>
      <c r="E76" s="10">
        <f t="shared" si="165"/>
        <v>68986.852787459822</v>
      </c>
      <c r="F76" s="10"/>
      <c r="G76" s="10">
        <f t="shared" ref="G76:H76" si="166">BI75</f>
        <v>97568.384302218969</v>
      </c>
      <c r="H76" s="10">
        <f t="shared" si="166"/>
        <v>255367.61163197891</v>
      </c>
      <c r="I76" s="10">
        <f>SUM(B76:H76)</f>
        <v>665040.24312351388</v>
      </c>
      <c r="J76" s="10"/>
      <c r="K76" s="10"/>
      <c r="L76" s="74"/>
      <c r="N76" t="s">
        <v>156</v>
      </c>
      <c r="O76" s="2">
        <f>O75</f>
        <v>11094.414029963191</v>
      </c>
      <c r="P76" s="2"/>
      <c r="R76" s="9" t="s">
        <v>94</v>
      </c>
      <c r="S76" s="10">
        <f>S75</f>
        <v>139307.8222934443</v>
      </c>
      <c r="T76" s="10"/>
      <c r="U76" s="10">
        <f>U75</f>
        <v>103809.5721084119</v>
      </c>
      <c r="V76" s="10">
        <f>V75</f>
        <v>68986.852787459822</v>
      </c>
      <c r="W76" s="10"/>
      <c r="X76" s="10">
        <f>X75</f>
        <v>97568.384302218969</v>
      </c>
      <c r="Y76" s="10">
        <f>Y75</f>
        <v>255367.61163197891</v>
      </c>
      <c r="Z76" s="10">
        <f>SUM(S76:Y76)</f>
        <v>665040.24312351388</v>
      </c>
      <c r="AA76" s="10"/>
      <c r="AB76" s="10"/>
      <c r="AC76" s="74"/>
      <c r="AD76" s="10"/>
      <c r="AE76" s="43"/>
      <c r="AG76" s="74" t="s">
        <v>132</v>
      </c>
      <c r="AH76" s="88">
        <f>AH75</f>
        <v>0.20947277060881789</v>
      </c>
      <c r="AI76" s="74"/>
      <c r="AJ76" s="88">
        <f>AJ75</f>
        <v>0.15609517346025026</v>
      </c>
      <c r="AK76" s="74"/>
      <c r="AL76" s="74"/>
      <c r="AM76" s="88">
        <f>AM75</f>
        <v>0.14671049656178203</v>
      </c>
      <c r="AN76" s="88">
        <f>AN75</f>
        <v>0.3839882086422115</v>
      </c>
      <c r="AO76" s="88">
        <f>AO75</f>
        <v>1</v>
      </c>
      <c r="AP76" s="88">
        <f>AP75</f>
        <v>0.6160117913577885</v>
      </c>
      <c r="AQ76" s="88">
        <f>AQ75</f>
        <v>0</v>
      </c>
      <c r="BC76" s="21"/>
      <c r="BD76" s="22"/>
      <c r="BF76" s="22"/>
      <c r="BG76" s="22"/>
      <c r="BI76" s="22"/>
      <c r="BJ76" s="22"/>
    </row>
    <row r="77" spans="1:65" x14ac:dyDescent="0.2">
      <c r="A77" s="11" t="s">
        <v>157</v>
      </c>
      <c r="I77" s="6">
        <f>(Z76-Z42)/Z42</f>
        <v>5.6504024312351389</v>
      </c>
      <c r="K77" s="6"/>
      <c r="N77" t="s">
        <v>67</v>
      </c>
      <c r="O77" s="2">
        <f>SUM(O43:O75)</f>
        <v>270336.47731494257</v>
      </c>
      <c r="P77" s="2"/>
      <c r="AB77" s="6"/>
      <c r="AJ77" s="7"/>
      <c r="BC77" s="21" t="s">
        <v>145</v>
      </c>
      <c r="BD77">
        <f>COUNT(BD47,BD51,BD53,BD57:BD58,BD61,BD63:BD64,BD68,BD74)</f>
        <v>10</v>
      </c>
      <c r="BF77" s="22"/>
    </row>
    <row r="78" spans="1:65" x14ac:dyDescent="0.2">
      <c r="A78" s="1" t="s">
        <v>158</v>
      </c>
      <c r="I78" s="12">
        <f>STDEV(AC43:AC725)</f>
        <v>0.10152285415692749</v>
      </c>
      <c r="AK78" s="89"/>
      <c r="AL78" s="89"/>
      <c r="AM78" s="90" t="s">
        <v>134</v>
      </c>
      <c r="AN78" s="89" t="b">
        <f>IF((AN75=AN76),TRUE,FALSE)</f>
        <v>1</v>
      </c>
      <c r="AO78" s="89"/>
      <c r="AP78" s="91" t="b">
        <f>IF(((SUM(AH75:AM75))=AP76),TRUE,FALSE)</f>
        <v>1</v>
      </c>
      <c r="BC78" t="s">
        <v>146</v>
      </c>
      <c r="BD78">
        <f>COUNTA('4.5% Withdrawals-No Rebalancing'!R44:R76)</f>
        <v>33</v>
      </c>
    </row>
    <row r="79" spans="1:65" x14ac:dyDescent="0.2">
      <c r="A79" s="1" t="s">
        <v>159</v>
      </c>
      <c r="I79" s="13">
        <f>((1+I77)^(1/I86))-1</f>
        <v>5.9094677881336599E-2</v>
      </c>
      <c r="AH79" s="21"/>
      <c r="BC79" s="21" t="s">
        <v>147</v>
      </c>
      <c r="BD79" s="87">
        <f>BD78/BD77</f>
        <v>3.3</v>
      </c>
    </row>
    <row r="80" spans="1:65" x14ac:dyDescent="0.2">
      <c r="A80" s="1" t="s">
        <v>98</v>
      </c>
      <c r="I80" s="31">
        <f>J63</f>
        <v>-88824.225501381792</v>
      </c>
      <c r="O80" s="2"/>
      <c r="P80" s="2"/>
    </row>
    <row r="81" spans="1:26" x14ac:dyDescent="0.2">
      <c r="A81" s="1" t="s">
        <v>136</v>
      </c>
      <c r="I81" s="32">
        <f>K63</f>
        <v>-0.23656360991788461</v>
      </c>
    </row>
    <row r="82" spans="1:26" x14ac:dyDescent="0.2">
      <c r="A82" s="1" t="s">
        <v>103</v>
      </c>
      <c r="I82" s="2">
        <f>O77</f>
        <v>270336.47731494257</v>
      </c>
    </row>
    <row r="83" spans="1:26" x14ac:dyDescent="0.2">
      <c r="A83" s="3" t="s">
        <v>165</v>
      </c>
      <c r="B83" s="3"/>
      <c r="C83" s="3"/>
      <c r="D83" s="3"/>
      <c r="E83" s="3"/>
      <c r="F83" s="3"/>
      <c r="G83" s="3"/>
      <c r="H83" s="3"/>
      <c r="I83" s="33">
        <f>I76-Z76</f>
        <v>0</v>
      </c>
      <c r="Z83" s="2"/>
    </row>
    <row r="84" spans="1:26" x14ac:dyDescent="0.2">
      <c r="A84" s="3" t="s">
        <v>138</v>
      </c>
      <c r="B84" s="3"/>
      <c r="C84" s="3"/>
      <c r="D84" s="3"/>
      <c r="E84" s="3"/>
      <c r="F84" s="3"/>
      <c r="G84" s="3"/>
      <c r="H84" s="3"/>
      <c r="I84" s="33">
        <f>((SUM(AA43:AA75)))-(I76-I42)</f>
        <v>0</v>
      </c>
    </row>
    <row r="85" spans="1:26" x14ac:dyDescent="0.2">
      <c r="A85" s="3" t="s">
        <v>160</v>
      </c>
      <c r="B85" s="3"/>
      <c r="C85" s="3"/>
      <c r="D85" s="3"/>
      <c r="E85" s="3"/>
      <c r="F85" s="3"/>
      <c r="G85" s="3"/>
      <c r="H85" s="3"/>
      <c r="I85" s="33">
        <f>(SUM(O43:O75))-I82</f>
        <v>0</v>
      </c>
      <c r="Z85" s="73"/>
    </row>
    <row r="86" spans="1:26" x14ac:dyDescent="0.2">
      <c r="A86" s="3" t="s">
        <v>139</v>
      </c>
      <c r="B86" s="3"/>
      <c r="C86" s="3"/>
      <c r="D86" s="3"/>
      <c r="E86" s="3"/>
      <c r="F86" s="3"/>
      <c r="G86" s="3"/>
      <c r="H86" s="3"/>
      <c r="I86" s="75">
        <f>COUNTA(I43:I75)</f>
        <v>33</v>
      </c>
    </row>
    <row r="87" spans="1:26" x14ac:dyDescent="0.2">
      <c r="A87" s="95" t="s">
        <v>100</v>
      </c>
      <c r="B87" s="63"/>
      <c r="C87" s="63"/>
      <c r="D87" s="63"/>
      <c r="E87" s="63"/>
      <c r="G87" s="63"/>
      <c r="H87" s="63"/>
      <c r="I87" s="94">
        <f>AP76</f>
        <v>0.6160117913577885</v>
      </c>
    </row>
    <row r="88" spans="1:26" x14ac:dyDescent="0.2">
      <c r="A88" s="95" t="s">
        <v>179</v>
      </c>
      <c r="B88" s="2"/>
      <c r="D88" s="2"/>
      <c r="E88" s="2"/>
      <c r="G88" s="2"/>
      <c r="H88" s="2"/>
      <c r="I88" s="94">
        <f>AN76</f>
        <v>0.3839882086422115</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88"/>
  <sheetViews>
    <sheetView topLeftCell="U38" zoomScaleNormal="100" workbookViewId="0">
      <pane xSplit="30220" topLeftCell="H1"/>
      <selection activeCell="AH42" sqref="AH42:AM42"/>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65" x14ac:dyDescent="0.2">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5" spans="1:65" x14ac:dyDescent="0.2">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'4.5% Withdrawals-No Rebalancing'!N35</f>
        <v>2019</v>
      </c>
      <c r="O35" s="50">
        <f>'4.5% Withdrawals-No Rebalancing'!O35</f>
        <v>2.2862976460393248E-2</v>
      </c>
    </row>
    <row r="36" spans="1:65" x14ac:dyDescent="0.2">
      <c r="A36" s="17">
        <f>'Non-Rebalanced Portfolio'!A36</f>
        <v>2020</v>
      </c>
      <c r="B36" s="17">
        <f>'Non-Rebalanced Portfolio'!B36</f>
        <v>18.37</v>
      </c>
      <c r="C36" s="17"/>
      <c r="D36" s="17">
        <f>'Non-Rebalanced Portfolio'!D36</f>
        <v>18.239999999999998</v>
      </c>
      <c r="E36" s="17">
        <f>'Non-Rebalanced Portfolio'!E36</f>
        <v>19.11</v>
      </c>
      <c r="F36" s="17"/>
      <c r="G36" s="17">
        <f>'Non-Rebalanced Portfolio'!G36</f>
        <v>11.28</v>
      </c>
      <c r="H36" s="17">
        <f>'Non-Rebalanced Portfolio'!H36</f>
        <v>7.72</v>
      </c>
      <c r="N36" s="49">
        <f>'4.5% Withdrawals-No Rebalancing'!N36</f>
        <v>2020</v>
      </c>
      <c r="O36" s="50">
        <f>'4.5% Withdrawals-No Rebalancing'!O36</f>
        <v>1.1388082437623485E-2</v>
      </c>
    </row>
    <row r="39" spans="1:65" x14ac:dyDescent="0.2">
      <c r="A39" s="20" t="s">
        <v>166</v>
      </c>
      <c r="N39" s="20" t="s">
        <v>153</v>
      </c>
      <c r="R39" s="20" t="s">
        <v>167</v>
      </c>
      <c r="AG39" s="20" t="s">
        <v>168</v>
      </c>
      <c r="AS39" s="20" t="s">
        <v>163</v>
      </c>
      <c r="BC39" s="20" t="s">
        <v>169</v>
      </c>
    </row>
    <row r="40" spans="1:65"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E40" s="5"/>
      <c r="AH40" s="4" t="str">
        <f t="shared" ref="AH40:AN41" si="2">B40</f>
        <v>LC Stocks</v>
      </c>
      <c r="AI40" s="4" t="str">
        <f t="shared" si="2"/>
        <v>Ext Mkt</v>
      </c>
      <c r="AJ40" s="4" t="str">
        <f t="shared" si="2"/>
        <v>Mcap Stk</v>
      </c>
      <c r="AK40" s="4" t="str">
        <f t="shared" si="2"/>
        <v>Small Cap</v>
      </c>
      <c r="AL40" s="4" t="str">
        <f t="shared" si="2"/>
        <v>Intl Val</v>
      </c>
      <c r="AM40" s="4" t="str">
        <f t="shared" si="2"/>
        <v>Tot Int Stk</v>
      </c>
      <c r="AN40" s="4" t="str">
        <f t="shared" si="2"/>
        <v>Bonds</v>
      </c>
      <c r="AO40" s="5"/>
      <c r="AP40" s="5" t="s">
        <v>124</v>
      </c>
      <c r="AQ40" s="5" t="s">
        <v>125</v>
      </c>
      <c r="AT40" s="4" t="str">
        <f t="shared" ref="AT40:AZ42" si="3">AH40</f>
        <v>LC Stocks</v>
      </c>
      <c r="AU40" s="4" t="str">
        <f t="shared" si="3"/>
        <v>Ext Mkt</v>
      </c>
      <c r="AV40" s="4" t="str">
        <f t="shared" si="3"/>
        <v>Mcap Stk</v>
      </c>
      <c r="AW40" s="4" t="str">
        <f t="shared" si="3"/>
        <v>Small Cap</v>
      </c>
      <c r="AX40" s="4" t="str">
        <f t="shared" si="3"/>
        <v>Intl Val</v>
      </c>
      <c r="AY40" s="4" t="str">
        <f t="shared" si="3"/>
        <v>Tot Int Stk</v>
      </c>
      <c r="AZ40" s="4" t="str">
        <f t="shared" si="3"/>
        <v>Bonds</v>
      </c>
      <c r="BA40" s="5"/>
      <c r="BD40" s="4" t="str">
        <f>AT40</f>
        <v>LC Stocks</v>
      </c>
      <c r="BE40" s="4" t="str">
        <f t="shared" ref="BE40:BK42" si="4">AU40</f>
        <v>Ext Mkt</v>
      </c>
      <c r="BF40" s="4" t="str">
        <f t="shared" si="4"/>
        <v>Mcap Stk</v>
      </c>
      <c r="BG40" s="4" t="str">
        <f t="shared" si="4"/>
        <v>Small Cap</v>
      </c>
      <c r="BH40" s="4" t="str">
        <f t="shared" si="4"/>
        <v>Intl Val</v>
      </c>
      <c r="BI40" s="4" t="str">
        <f t="shared" si="4"/>
        <v>Tot Int Stk</v>
      </c>
      <c r="BJ40" s="4" t="str">
        <f t="shared" si="4"/>
        <v>Bonds</v>
      </c>
      <c r="BK40" s="4"/>
      <c r="BL40" t="s">
        <v>144</v>
      </c>
    </row>
    <row r="41" spans="1:65"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E41" s="5"/>
      <c r="AG41" t="s">
        <v>126</v>
      </c>
      <c r="AH41" s="4" t="str">
        <f t="shared" si="2"/>
        <v>VFIAX</v>
      </c>
      <c r="AI41" s="4" t="str">
        <f t="shared" si="2"/>
        <v>VEXMX</v>
      </c>
      <c r="AJ41" s="4" t="str">
        <f t="shared" si="2"/>
        <v>VIMAX</v>
      </c>
      <c r="AK41" s="4" t="str">
        <f t="shared" si="2"/>
        <v>VSMAX</v>
      </c>
      <c r="AL41" s="4" t="str">
        <f t="shared" si="2"/>
        <v>VTRIX</v>
      </c>
      <c r="AM41" s="4" t="str">
        <f t="shared" si="2"/>
        <v>VTIAX</v>
      </c>
      <c r="AN41" s="4" t="str">
        <f t="shared" si="2"/>
        <v>VBTLX</v>
      </c>
      <c r="AO41" s="5" t="s">
        <v>67</v>
      </c>
      <c r="AP41" s="5" t="s">
        <v>125</v>
      </c>
      <c r="AQ41" s="5" t="s">
        <v>129</v>
      </c>
      <c r="AS41" t="str">
        <f>AG41</f>
        <v>Fund</v>
      </c>
      <c r="AT41" s="4" t="str">
        <f t="shared" si="3"/>
        <v>VFIAX</v>
      </c>
      <c r="AU41" s="4" t="str">
        <f t="shared" si="3"/>
        <v>VEXMX</v>
      </c>
      <c r="AV41" s="4" t="str">
        <f t="shared" si="3"/>
        <v>VIMAX</v>
      </c>
      <c r="AW41" s="4" t="str">
        <f t="shared" si="3"/>
        <v>VSMAX</v>
      </c>
      <c r="AX41" s="4" t="str">
        <f t="shared" si="3"/>
        <v>VTRIX</v>
      </c>
      <c r="AY41" s="4" t="str">
        <f t="shared" si="3"/>
        <v>VTIAX</v>
      </c>
      <c r="AZ41" s="4" t="str">
        <f t="shared" si="3"/>
        <v>VBTLX</v>
      </c>
      <c r="BA41" s="4" t="str">
        <f>AO41</f>
        <v>Total</v>
      </c>
      <c r="BC41" t="s">
        <v>126</v>
      </c>
      <c r="BD41" s="4" t="str">
        <f>AT41</f>
        <v>VFIAX</v>
      </c>
      <c r="BE41" s="4" t="str">
        <f t="shared" si="4"/>
        <v>VEXMX</v>
      </c>
      <c r="BF41" s="4" t="str">
        <f t="shared" si="4"/>
        <v>VIMAX</v>
      </c>
      <c r="BG41" s="4" t="str">
        <f t="shared" si="4"/>
        <v>VSMAX</v>
      </c>
      <c r="BH41" s="4" t="str">
        <f t="shared" si="4"/>
        <v>VTRIX</v>
      </c>
      <c r="BI41" s="4" t="str">
        <f t="shared" si="4"/>
        <v>VTIAX</v>
      </c>
      <c r="BJ41" s="4" t="str">
        <f t="shared" si="4"/>
        <v>VBTLX</v>
      </c>
      <c r="BK41" s="4" t="str">
        <f t="shared" si="4"/>
        <v>Total</v>
      </c>
      <c r="BL41" t="s">
        <v>129</v>
      </c>
    </row>
    <row r="42" spans="1:65"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1"/>
        <v>25000</v>
      </c>
      <c r="U42" s="2">
        <f t="shared" si="1"/>
        <v>0</v>
      </c>
      <c r="V42" s="2">
        <f t="shared" si="1"/>
        <v>0</v>
      </c>
      <c r="W42" s="2">
        <f t="shared" si="1"/>
        <v>15000</v>
      </c>
      <c r="X42" s="2">
        <f t="shared" si="1"/>
        <v>0</v>
      </c>
      <c r="Y42" s="2">
        <f t="shared" si="1"/>
        <v>40000</v>
      </c>
      <c r="Z42" s="2">
        <f t="shared" si="1"/>
        <v>100000</v>
      </c>
      <c r="AD42" s="2"/>
      <c r="AE42" s="2"/>
      <c r="AG42" s="21" t="s">
        <v>131</v>
      </c>
      <c r="AH42" s="6">
        <f>'Non-Rebalanced Portfolio'!P42</f>
        <v>0.2</v>
      </c>
      <c r="AI42" s="6">
        <f>'Non-Rebalanced Portfolio'!Q42</f>
        <v>0.25</v>
      </c>
      <c r="AJ42" s="6">
        <f>'Non-Rebalanced Portfolio'!R42</f>
        <v>0.15</v>
      </c>
      <c r="AK42" s="6">
        <f>'Non-Rebalanced Portfolio'!S42</f>
        <v>0.1</v>
      </c>
      <c r="AL42" s="6">
        <f>'Non-Rebalanced Portfolio'!T42</f>
        <v>0.15</v>
      </c>
      <c r="AM42" s="6">
        <f>'Non-Rebalanced Portfolio'!U42</f>
        <v>0.15</v>
      </c>
      <c r="AN42" s="6">
        <f>'Non-Rebalanced Portfolio'!V42</f>
        <v>0.4</v>
      </c>
      <c r="AO42" s="6">
        <f>Z42/$Z42</f>
        <v>1</v>
      </c>
      <c r="AP42" s="24"/>
      <c r="AR42" s="24"/>
      <c r="AS42" s="21" t="str">
        <f>AG42</f>
        <v>Target Allocation</v>
      </c>
      <c r="AT42" s="24">
        <f t="shared" si="3"/>
        <v>0.2</v>
      </c>
      <c r="AU42" s="24">
        <f t="shared" si="3"/>
        <v>0.25</v>
      </c>
      <c r="AV42" s="25">
        <f t="shared" si="3"/>
        <v>0.15</v>
      </c>
      <c r="AW42" s="25">
        <f t="shared" si="3"/>
        <v>0.1</v>
      </c>
      <c r="AX42" s="24">
        <f t="shared" si="3"/>
        <v>0.15</v>
      </c>
      <c r="AY42" s="25">
        <f t="shared" si="3"/>
        <v>0.15</v>
      </c>
      <c r="AZ42" s="24">
        <f t="shared" si="3"/>
        <v>0.4</v>
      </c>
      <c r="BA42" s="24">
        <f>AO42</f>
        <v>1</v>
      </c>
      <c r="BC42" s="21" t="str">
        <f>AS42</f>
        <v>Target Allocation</v>
      </c>
      <c r="BD42" s="24">
        <f>AT42</f>
        <v>0.2</v>
      </c>
      <c r="BE42" s="24">
        <f t="shared" si="4"/>
        <v>0.25</v>
      </c>
      <c r="BF42" s="25">
        <f t="shared" si="4"/>
        <v>0.15</v>
      </c>
      <c r="BG42" s="25">
        <f t="shared" si="4"/>
        <v>0.1</v>
      </c>
      <c r="BH42" s="24">
        <f t="shared" si="4"/>
        <v>0.15</v>
      </c>
      <c r="BI42" s="25">
        <f t="shared" si="4"/>
        <v>0.15</v>
      </c>
      <c r="BJ42" s="24">
        <f t="shared" si="4"/>
        <v>0.4</v>
      </c>
      <c r="BK42" s="24">
        <f t="shared" si="4"/>
        <v>1</v>
      </c>
      <c r="BL42" s="2"/>
    </row>
    <row r="43" spans="1:65" x14ac:dyDescent="0.2">
      <c r="A43">
        <f t="shared" ref="A43:A73" si="5">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83">
        <f>(J43/I42)</f>
        <v>0.13937449999999982</v>
      </c>
      <c r="L43" s="7">
        <f>K43+1</f>
        <v>1.1393744999999997</v>
      </c>
      <c r="N43">
        <f>A43</f>
        <v>1988</v>
      </c>
      <c r="O43" s="2">
        <f>I43*0.04</f>
        <v>4557.4979999999996</v>
      </c>
      <c r="P43" s="2"/>
      <c r="Q43" s="2"/>
      <c r="R43">
        <f>A43</f>
        <v>1988</v>
      </c>
      <c r="S43" s="2">
        <f>B43-($O43/4)</f>
        <v>22104.625499999995</v>
      </c>
      <c r="T43" s="2">
        <f>C43-($O43/4)</f>
        <v>28797.375500000002</v>
      </c>
      <c r="U43" s="2"/>
      <c r="V43" s="2"/>
      <c r="W43" s="2">
        <f t="shared" ref="W43:W51" si="6">F43-($O43/4)</f>
        <v>16677.325499999999</v>
      </c>
      <c r="X43" s="2"/>
      <c r="Y43" s="2">
        <f>H43-($O43/4)</f>
        <v>41800.625499999995</v>
      </c>
      <c r="Z43" s="2">
        <f>SUM(S43:Y43)</f>
        <v>109379.95199999999</v>
      </c>
      <c r="AA43" s="2">
        <f>Z43-Z42</f>
        <v>9379.9519999999902</v>
      </c>
      <c r="AB43" s="83">
        <f>(AA43/Z42)</f>
        <v>9.37995199999999E-2</v>
      </c>
      <c r="AC43" s="7">
        <f>AB43+1</f>
        <v>1.0937995199999999</v>
      </c>
      <c r="AD43" s="2">
        <f>Z43-(I43-O43)</f>
        <v>0</v>
      </c>
      <c r="AE43" s="2"/>
      <c r="AG43">
        <f>A43</f>
        <v>1988</v>
      </c>
      <c r="AH43" s="6">
        <f t="shared" ref="AH43:AI57" si="7">S43/$Z43</f>
        <v>0.20209028341866522</v>
      </c>
      <c r="AI43" s="6">
        <f t="shared" si="7"/>
        <v>0.26327837024466794</v>
      </c>
      <c r="AJ43" s="7"/>
      <c r="AK43" s="7"/>
      <c r="AL43" s="6">
        <f>W43/$Z43</f>
        <v>0.15247150135885962</v>
      </c>
      <c r="AM43" s="7"/>
      <c r="AN43" s="6">
        <f>Y43/$Z43</f>
        <v>0.38215984497780725</v>
      </c>
      <c r="AO43" s="6">
        <f>SUM(AH43:AN43)</f>
        <v>1</v>
      </c>
      <c r="AP43" s="7">
        <f>SUM(AH43:AM43)</f>
        <v>0.61784015502219281</v>
      </c>
      <c r="AQ43" s="7">
        <f>AO43-(AP43+AN43)</f>
        <v>0</v>
      </c>
      <c r="AR43" s="24"/>
      <c r="AS43">
        <f>AG43</f>
        <v>1988</v>
      </c>
      <c r="AT43" s="1" t="b">
        <f>AND((S43/$Z43)&gt;0.15,(S43/$Z43)&lt;0.25)</f>
        <v>1</v>
      </c>
      <c r="AU43" s="1" t="b">
        <f>AND((T43/$Z43)&gt;0.2,(T43/$Z43)&lt;0.3)</f>
        <v>1</v>
      </c>
      <c r="AX43" s="1" t="b">
        <f t="shared" ref="AX43:AX51" si="8">AND((W43/$Z43)&gt;0.15,(W43/$Z43)&lt;0.25)</f>
        <v>1</v>
      </c>
      <c r="AZ43" s="1" t="b">
        <f t="shared" ref="AZ43:AZ75" si="9">AND((Y43/$Z43)&gt;0.35,(Y43/$Z43)&lt;0.45)</f>
        <v>1</v>
      </c>
      <c r="BA43" s="1" t="b">
        <f>AND((Z43/$Z43)&gt;0.999,(Z43/$Z43)&lt;1.01)</f>
        <v>1</v>
      </c>
      <c r="BC43">
        <f>AS43</f>
        <v>1988</v>
      </c>
      <c r="BD43" s="2">
        <f t="shared" ref="BD43:BE53" si="10">$BK43*BD$42</f>
        <v>21875.990399999999</v>
      </c>
      <c r="BE43" s="2">
        <f t="shared" si="10"/>
        <v>27344.987999999998</v>
      </c>
      <c r="BF43" s="2"/>
      <c r="BG43" s="2"/>
      <c r="BH43" s="2">
        <f t="shared" ref="BH43:BH51" si="11">$BK43*BH$42</f>
        <v>16406.992799999996</v>
      </c>
      <c r="BI43" s="2"/>
      <c r="BJ43" s="2">
        <f t="shared" ref="BJ43:BJ71" si="12">$BK43*BJ$42</f>
        <v>43751.980799999998</v>
      </c>
      <c r="BK43" s="2">
        <f>Z43</f>
        <v>109379.95199999999</v>
      </c>
      <c r="BL43" s="2">
        <f>SUM(BD43:BJ43)-Z43</f>
        <v>0</v>
      </c>
      <c r="BM43" s="2"/>
    </row>
    <row r="44" spans="1:65" x14ac:dyDescent="0.2">
      <c r="A44">
        <f t="shared" si="5"/>
        <v>1989</v>
      </c>
      <c r="B44" s="2">
        <f t="shared" ref="B44:B53" si="13">BD43*(1+(B5/100))</f>
        <v>28736.300989440002</v>
      </c>
      <c r="C44" s="2">
        <f t="shared" ref="C44:C53" si="14">BE43*(1+(C5/100))</f>
        <v>33934.036308479997</v>
      </c>
      <c r="D44" s="2"/>
      <c r="E44" s="2"/>
      <c r="F44" s="2">
        <f t="shared" ref="F44:F51" si="15">BH43*(1+(F5/100))</f>
        <v>20668.052900087998</v>
      </c>
      <c r="G44" s="2"/>
      <c r="H44" s="2">
        <f t="shared" ref="H44:H73" si="16">BJ43*(1+(H5/100))</f>
        <v>49719.75098112</v>
      </c>
      <c r="I44" s="2">
        <f>SUM(B44:H44)</f>
        <v>133058.141179128</v>
      </c>
      <c r="J44" s="2">
        <f t="shared" ref="J44:J71" si="17">I44-I43</f>
        <v>19120.691179128014</v>
      </c>
      <c r="K44" s="83">
        <f t="shared" ref="K44:K71" si="18">(J44/I43)</f>
        <v>0.16781744000000015</v>
      </c>
      <c r="L44" s="7">
        <f t="shared" ref="L44:L71" si="19">K44+1</f>
        <v>1.1678174400000001</v>
      </c>
      <c r="N44">
        <f t="shared" ref="N44:N71" si="20">A44</f>
        <v>1989</v>
      </c>
      <c r="O44" s="2">
        <f t="shared" ref="O44:O73" si="21">O43*(1+O5)</f>
        <v>4767.1429079999998</v>
      </c>
      <c r="P44" s="2"/>
      <c r="Q44" s="2"/>
      <c r="R44">
        <f t="shared" ref="R44:R71" si="22">A44</f>
        <v>1989</v>
      </c>
      <c r="S44" s="2">
        <f t="shared" ref="S44:T52" si="23">B44-($O44/4)</f>
        <v>27544.515262440003</v>
      </c>
      <c r="T44" s="2">
        <f t="shared" si="23"/>
        <v>32742.250581479999</v>
      </c>
      <c r="U44" s="2"/>
      <c r="V44" s="2"/>
      <c r="W44" s="2">
        <f t="shared" si="6"/>
        <v>19476.267173087999</v>
      </c>
      <c r="X44" s="2"/>
      <c r="Y44" s="2">
        <f t="shared" ref="Y44:Y52" si="24">H44-($O44/4)</f>
        <v>48527.965254119998</v>
      </c>
      <c r="Z44" s="2">
        <f t="shared" ref="Z44:Z71" si="25">SUM(S44:Y44)</f>
        <v>128290.99827112799</v>
      </c>
      <c r="AA44" s="2">
        <f t="shared" ref="AA44:AA58" si="26">Z44-Z43</f>
        <v>18911.046271127998</v>
      </c>
      <c r="AB44" s="83">
        <f t="shared" ref="AB44:AB58" si="27">(AA44/Z43)</f>
        <v>0.17289316666666665</v>
      </c>
      <c r="AC44" s="7">
        <f t="shared" ref="AC44:AC71" si="28">AB44+1</f>
        <v>1.1728931666666667</v>
      </c>
      <c r="AD44" s="2">
        <f t="shared" ref="AD44:AD71" si="29">Z44-(I44-O44)</f>
        <v>0</v>
      </c>
      <c r="AE44" s="2"/>
      <c r="AG44">
        <f t="shared" ref="AG44:AG71" si="30">A44</f>
        <v>1989</v>
      </c>
      <c r="AH44" s="6">
        <f t="shared" si="7"/>
        <v>0.21470341359592432</v>
      </c>
      <c r="AI44" s="6">
        <f t="shared" si="7"/>
        <v>0.25521861255053213</v>
      </c>
      <c r="AJ44" s="7"/>
      <c r="AK44" s="7"/>
      <c r="AL44" s="6">
        <f t="shared" ref="AL44:AM59" si="31">W44/$Z44</f>
        <v>0.15181320151494332</v>
      </c>
      <c r="AM44" s="7"/>
      <c r="AN44" s="6">
        <f t="shared" ref="AN44:AN71" si="32">Y44/$Z44</f>
        <v>0.37826477233860034</v>
      </c>
      <c r="AO44" s="6">
        <f t="shared" ref="AO44:AO68" si="33">SUM(AH44:AN44)</f>
        <v>1</v>
      </c>
      <c r="AP44" s="7">
        <f t="shared" ref="AP44:AP68" si="34">SUM(AH44:AM44)</f>
        <v>0.62173522766139977</v>
      </c>
      <c r="AQ44" s="7">
        <f t="shared" ref="AQ44:AQ71" si="35">AO44-(AP44+AN44)</f>
        <v>0</v>
      </c>
      <c r="AR44" s="24"/>
      <c r="AS44">
        <f t="shared" ref="AS44:AS71" si="36">AG44</f>
        <v>1989</v>
      </c>
      <c r="AT44" s="1" t="b">
        <f t="shared" ref="AT44:AT71" si="37">AND((S44/$Z44)&gt;0.15,(S44/$Z44)&lt;0.25)</f>
        <v>1</v>
      </c>
      <c r="AU44" s="1" t="b">
        <f t="shared" ref="AU44:AU53" si="38">AND((T44/$Z44)&gt;0.2,(T44/$Z44)&lt;0.3)</f>
        <v>1</v>
      </c>
      <c r="AX44" s="1" t="b">
        <f t="shared" si="8"/>
        <v>1</v>
      </c>
      <c r="AZ44" s="1" t="b">
        <f t="shared" si="9"/>
        <v>1</v>
      </c>
      <c r="BA44" s="1" t="b">
        <f t="shared" ref="BA44:BA71" si="39">AND((Z44/$Z44)&gt;0.999,(Z44/$Z44)&lt;1.01)</f>
        <v>1</v>
      </c>
      <c r="BC44">
        <f t="shared" ref="BC44:BC71" si="40">AS44</f>
        <v>1989</v>
      </c>
      <c r="BD44" s="2">
        <f t="shared" si="10"/>
        <v>25658.199654225598</v>
      </c>
      <c r="BE44" s="2">
        <f t="shared" si="10"/>
        <v>32072.749567781997</v>
      </c>
      <c r="BF44" s="2"/>
      <c r="BG44" s="2"/>
      <c r="BH44" s="2">
        <f t="shared" si="11"/>
        <v>19243.649740669196</v>
      </c>
      <c r="BI44" s="2"/>
      <c r="BJ44" s="2">
        <f t="shared" si="12"/>
        <v>51316.399308451197</v>
      </c>
      <c r="BK44" s="2">
        <f t="shared" ref="BK44:BK71" si="41">Z44</f>
        <v>128290.99827112799</v>
      </c>
      <c r="BL44" s="2">
        <f t="shared" ref="BL44:BL71" si="42">SUM(BD44:BJ44)-Z44</f>
        <v>0</v>
      </c>
      <c r="BM44" s="2"/>
    </row>
    <row r="45" spans="1:65" x14ac:dyDescent="0.2">
      <c r="A45">
        <f t="shared" si="5"/>
        <v>1990</v>
      </c>
      <c r="B45" s="2">
        <f t="shared" si="13"/>
        <v>24806.347425705309</v>
      </c>
      <c r="C45" s="2">
        <f t="shared" si="14"/>
        <v>27568.131890987017</v>
      </c>
      <c r="D45" s="2"/>
      <c r="E45" s="2"/>
      <c r="F45" s="2">
        <f t="shared" si="15"/>
        <v>16884.378282463153</v>
      </c>
      <c r="G45" s="2"/>
      <c r="H45" s="2">
        <f t="shared" si="16"/>
        <v>55755.267848632226</v>
      </c>
      <c r="I45" s="2">
        <f t="shared" ref="I45:I67" si="43">SUM(B45:H45)</f>
        <v>125014.12544778771</v>
      </c>
      <c r="J45" s="2">
        <f t="shared" si="17"/>
        <v>-8044.0157313402888</v>
      </c>
      <c r="K45" s="83">
        <f t="shared" si="18"/>
        <v>-6.045489332750504E-2</v>
      </c>
      <c r="L45" s="7">
        <f t="shared" si="19"/>
        <v>0.93954510667249491</v>
      </c>
      <c r="N45">
        <f t="shared" si="20"/>
        <v>1990</v>
      </c>
      <c r="O45" s="2">
        <f t="shared" si="21"/>
        <v>5067.4729112039995</v>
      </c>
      <c r="P45" s="2"/>
      <c r="Q45" s="2"/>
      <c r="R45">
        <f t="shared" si="22"/>
        <v>1990</v>
      </c>
      <c r="S45" s="2">
        <f t="shared" si="23"/>
        <v>23539.479197904311</v>
      </c>
      <c r="T45" s="2">
        <f t="shared" si="23"/>
        <v>26301.263663186019</v>
      </c>
      <c r="U45" s="2"/>
      <c r="V45" s="2"/>
      <c r="W45" s="2">
        <f t="shared" si="6"/>
        <v>15617.510054662152</v>
      </c>
      <c r="X45" s="2"/>
      <c r="Y45" s="2">
        <f t="shared" si="24"/>
        <v>54488.399620831224</v>
      </c>
      <c r="Z45" s="2">
        <f t="shared" si="25"/>
        <v>119946.65253658372</v>
      </c>
      <c r="AA45" s="2">
        <f t="shared" si="26"/>
        <v>-8344.345734544273</v>
      </c>
      <c r="AB45" s="83">
        <f t="shared" si="27"/>
        <v>-6.5042332252411628E-2</v>
      </c>
      <c r="AC45" s="7">
        <f t="shared" si="28"/>
        <v>0.93495766774758837</v>
      </c>
      <c r="AD45" s="2">
        <f t="shared" si="29"/>
        <v>0</v>
      </c>
      <c r="AE45" s="2"/>
      <c r="AG45">
        <f t="shared" si="30"/>
        <v>1990</v>
      </c>
      <c r="AH45" s="6">
        <f t="shared" si="7"/>
        <v>0.19624957178963184</v>
      </c>
      <c r="AI45" s="6">
        <f t="shared" si="7"/>
        <v>0.21927467842559539</v>
      </c>
      <c r="AJ45" s="7"/>
      <c r="AK45" s="7"/>
      <c r="AL45" s="6">
        <f t="shared" si="31"/>
        <v>0.13020380080968758</v>
      </c>
      <c r="AM45" s="7"/>
      <c r="AN45" s="6">
        <f t="shared" si="32"/>
        <v>0.45427194897508516</v>
      </c>
      <c r="AO45" s="6">
        <f t="shared" si="33"/>
        <v>0.99999999999999989</v>
      </c>
      <c r="AP45" s="7">
        <f t="shared" si="34"/>
        <v>0.54572805102491473</v>
      </c>
      <c r="AQ45" s="7">
        <f t="shared" si="35"/>
        <v>0</v>
      </c>
      <c r="AR45" s="24"/>
      <c r="AS45">
        <f t="shared" si="36"/>
        <v>1990</v>
      </c>
      <c r="AT45" s="1" t="b">
        <f t="shared" si="37"/>
        <v>1</v>
      </c>
      <c r="AU45" s="1" t="b">
        <f t="shared" si="38"/>
        <v>1</v>
      </c>
      <c r="AX45" s="1" t="b">
        <f t="shared" si="8"/>
        <v>0</v>
      </c>
      <c r="AZ45" s="1" t="b">
        <f t="shared" si="9"/>
        <v>0</v>
      </c>
      <c r="BA45" s="1" t="b">
        <f t="shared" si="39"/>
        <v>1</v>
      </c>
      <c r="BC45">
        <f t="shared" si="40"/>
        <v>1990</v>
      </c>
      <c r="BD45" s="2">
        <f t="shared" si="10"/>
        <v>23989.330507316743</v>
      </c>
      <c r="BE45" s="2">
        <f t="shared" si="10"/>
        <v>29986.663134145929</v>
      </c>
      <c r="BF45" s="2"/>
      <c r="BG45" s="2"/>
      <c r="BH45" s="2">
        <f t="shared" si="11"/>
        <v>17991.997880487557</v>
      </c>
      <c r="BI45" s="2"/>
      <c r="BJ45" s="2">
        <f t="shared" si="12"/>
        <v>47978.661014633486</v>
      </c>
      <c r="BK45" s="2">
        <f t="shared" si="41"/>
        <v>119946.65253658372</v>
      </c>
      <c r="BL45" s="2">
        <f t="shared" si="42"/>
        <v>0</v>
      </c>
      <c r="BM45" s="2"/>
    </row>
    <row r="46" spans="1:65" x14ac:dyDescent="0.2">
      <c r="A46">
        <f t="shared" si="5"/>
        <v>1991</v>
      </c>
      <c r="B46" s="2">
        <f t="shared" si="13"/>
        <v>31238.906186627864</v>
      </c>
      <c r="C46" s="2">
        <f t="shared" si="14"/>
        <v>42536.081655786002</v>
      </c>
      <c r="D46" s="2"/>
      <c r="E46" s="2"/>
      <c r="F46" s="2">
        <f t="shared" si="15"/>
        <v>19783.2811894689</v>
      </c>
      <c r="G46" s="2"/>
      <c r="H46" s="2">
        <f t="shared" si="16"/>
        <v>55295.406819365096</v>
      </c>
      <c r="I46" s="2">
        <f t="shared" si="43"/>
        <v>148853.67585124786</v>
      </c>
      <c r="J46" s="2">
        <f t="shared" si="17"/>
        <v>23839.550403460147</v>
      </c>
      <c r="K46" s="83">
        <f t="shared" si="18"/>
        <v>0.19069485402604974</v>
      </c>
      <c r="L46" s="7">
        <f t="shared" si="19"/>
        <v>1.1906948540260498</v>
      </c>
      <c r="N46">
        <f t="shared" si="20"/>
        <v>1991</v>
      </c>
      <c r="O46" s="2">
        <f t="shared" si="21"/>
        <v>5219.4970985401196</v>
      </c>
      <c r="P46" s="2"/>
      <c r="Q46" s="2"/>
      <c r="R46">
        <f t="shared" si="22"/>
        <v>1991</v>
      </c>
      <c r="S46" s="2">
        <f t="shared" si="23"/>
        <v>29934.031911992835</v>
      </c>
      <c r="T46" s="2">
        <f t="shared" si="23"/>
        <v>41231.207381150969</v>
      </c>
      <c r="U46" s="2"/>
      <c r="V46" s="2"/>
      <c r="W46" s="2">
        <f t="shared" si="6"/>
        <v>18478.406914833871</v>
      </c>
      <c r="X46" s="2"/>
      <c r="Y46" s="2">
        <f t="shared" si="24"/>
        <v>53990.532544730064</v>
      </c>
      <c r="Z46" s="2">
        <f t="shared" si="25"/>
        <v>143634.17875270775</v>
      </c>
      <c r="AA46" s="2">
        <f t="shared" si="26"/>
        <v>23687.526216124039</v>
      </c>
      <c r="AB46" s="83">
        <f t="shared" si="27"/>
        <v>0.19748384565296098</v>
      </c>
      <c r="AC46" s="7">
        <f t="shared" si="28"/>
        <v>1.1974838456529611</v>
      </c>
      <c r="AD46" s="2">
        <f t="shared" si="29"/>
        <v>0</v>
      </c>
      <c r="AE46" s="2"/>
      <c r="AG46">
        <f t="shared" si="30"/>
        <v>1991</v>
      </c>
      <c r="AH46" s="6">
        <f t="shared" si="7"/>
        <v>0.20840465808301581</v>
      </c>
      <c r="AI46" s="6">
        <f t="shared" si="7"/>
        <v>0.28705707610260339</v>
      </c>
      <c r="AJ46" s="7"/>
      <c r="AK46" s="7"/>
      <c r="AL46" s="6">
        <f t="shared" si="31"/>
        <v>0.1286490936579085</v>
      </c>
      <c r="AM46" s="7"/>
      <c r="AN46" s="6">
        <f t="shared" si="32"/>
        <v>0.37588917215647216</v>
      </c>
      <c r="AO46" s="6">
        <f t="shared" si="33"/>
        <v>0.99999999999999978</v>
      </c>
      <c r="AP46" s="7">
        <f t="shared" si="34"/>
        <v>0.62411082784352767</v>
      </c>
      <c r="AQ46" s="7">
        <f t="shared" si="35"/>
        <v>0</v>
      </c>
      <c r="AR46" s="24"/>
      <c r="AS46">
        <f t="shared" si="36"/>
        <v>1991</v>
      </c>
      <c r="AT46" s="1" t="b">
        <f t="shared" si="37"/>
        <v>1</v>
      </c>
      <c r="AU46" s="1" t="b">
        <f t="shared" si="38"/>
        <v>1</v>
      </c>
      <c r="AX46" s="1" t="b">
        <f t="shared" si="8"/>
        <v>0</v>
      </c>
      <c r="AZ46" s="1" t="b">
        <f t="shared" si="9"/>
        <v>1</v>
      </c>
      <c r="BA46" s="1" t="b">
        <f t="shared" si="39"/>
        <v>1</v>
      </c>
      <c r="BC46">
        <f t="shared" si="40"/>
        <v>1991</v>
      </c>
      <c r="BD46" s="2">
        <f t="shared" si="10"/>
        <v>28726.835750541552</v>
      </c>
      <c r="BE46" s="2">
        <f t="shared" si="10"/>
        <v>35908.544688176939</v>
      </c>
      <c r="BF46" s="2"/>
      <c r="BG46" s="2"/>
      <c r="BH46" s="2">
        <f t="shared" si="11"/>
        <v>21545.126812906161</v>
      </c>
      <c r="BI46" s="2"/>
      <c r="BJ46" s="2">
        <f t="shared" si="12"/>
        <v>57453.671501083103</v>
      </c>
      <c r="BK46" s="2">
        <f t="shared" si="41"/>
        <v>143634.17875270775</v>
      </c>
      <c r="BL46" s="2">
        <f t="shared" si="42"/>
        <v>0</v>
      </c>
      <c r="BM46" s="2"/>
    </row>
    <row r="47" spans="1:65" x14ac:dyDescent="0.2">
      <c r="A47">
        <f t="shared" si="5"/>
        <v>1992</v>
      </c>
      <c r="B47" s="2">
        <f t="shared" si="13"/>
        <v>30858.366963231736</v>
      </c>
      <c r="C47" s="2">
        <f t="shared" si="14"/>
        <v>40384.903869005073</v>
      </c>
      <c r="D47" s="2"/>
      <c r="E47" s="2"/>
      <c r="F47" s="2">
        <f t="shared" si="15"/>
        <v>19666.176303552613</v>
      </c>
      <c r="G47" s="2"/>
      <c r="H47" s="2">
        <f t="shared" si="16"/>
        <v>61555.863646260434</v>
      </c>
      <c r="I47" s="2">
        <f t="shared" si="43"/>
        <v>152465.31078204984</v>
      </c>
      <c r="J47" s="2">
        <f t="shared" si="17"/>
        <v>3611.6349308019853</v>
      </c>
      <c r="K47" s="83">
        <f t="shared" si="18"/>
        <v>2.4262987864748176E-2</v>
      </c>
      <c r="L47" s="7">
        <f t="shared" si="19"/>
        <v>1.0242629878647482</v>
      </c>
      <c r="N47">
        <f t="shared" si="20"/>
        <v>1992</v>
      </c>
      <c r="O47" s="2">
        <f t="shared" si="21"/>
        <v>5376.0820114963235</v>
      </c>
      <c r="P47" s="2"/>
      <c r="Q47" s="2"/>
      <c r="R47">
        <f t="shared" si="22"/>
        <v>1992</v>
      </c>
      <c r="S47" s="2">
        <f t="shared" si="23"/>
        <v>29514.346460357654</v>
      </c>
      <c r="T47" s="2">
        <f t="shared" si="23"/>
        <v>39040.883366130991</v>
      </c>
      <c r="U47" s="2"/>
      <c r="V47" s="2"/>
      <c r="W47" s="2">
        <f t="shared" si="6"/>
        <v>18322.155800678531</v>
      </c>
      <c r="X47" s="2"/>
      <c r="Y47" s="2">
        <f t="shared" si="24"/>
        <v>60211.843143386352</v>
      </c>
      <c r="Z47" s="2">
        <f t="shared" si="25"/>
        <v>147089.22877055354</v>
      </c>
      <c r="AA47" s="2">
        <f t="shared" si="26"/>
        <v>3455.0500178457878</v>
      </c>
      <c r="AB47" s="83">
        <f t="shared" si="27"/>
        <v>2.4054511592218466E-2</v>
      </c>
      <c r="AC47" s="7">
        <f t="shared" si="28"/>
        <v>1.0240545115922184</v>
      </c>
      <c r="AD47" s="2">
        <f t="shared" si="29"/>
        <v>0</v>
      </c>
      <c r="AE47" s="2"/>
      <c r="AG47">
        <f t="shared" si="30"/>
        <v>1992</v>
      </c>
      <c r="AH47" s="6">
        <f t="shared" si="7"/>
        <v>0.20065606915648104</v>
      </c>
      <c r="AI47" s="38">
        <f t="shared" si="7"/>
        <v>0.2654231291608129</v>
      </c>
      <c r="AJ47" s="7"/>
      <c r="AK47" s="7"/>
      <c r="AL47" s="38">
        <f t="shared" si="31"/>
        <v>0.12456490494799934</v>
      </c>
      <c r="AM47" s="7"/>
      <c r="AN47" s="6">
        <f t="shared" si="32"/>
        <v>0.40935589673470663</v>
      </c>
      <c r="AO47" s="6">
        <f t="shared" si="33"/>
        <v>0.99999999999999989</v>
      </c>
      <c r="AP47" s="7">
        <f t="shared" si="34"/>
        <v>0.59064410326529326</v>
      </c>
      <c r="AQ47" s="7">
        <f t="shared" si="35"/>
        <v>0</v>
      </c>
      <c r="AR47" s="24"/>
      <c r="AS47">
        <f t="shared" si="36"/>
        <v>1992</v>
      </c>
      <c r="AT47" s="1" t="b">
        <f t="shared" si="37"/>
        <v>1</v>
      </c>
      <c r="AU47" s="1" t="b">
        <f t="shared" si="38"/>
        <v>1</v>
      </c>
      <c r="AV47" s="1"/>
      <c r="AW47" s="1"/>
      <c r="AX47" s="1" t="b">
        <f t="shared" si="8"/>
        <v>0</v>
      </c>
      <c r="AY47" s="1"/>
      <c r="AZ47" s="1" t="b">
        <f t="shared" si="9"/>
        <v>1</v>
      </c>
      <c r="BA47" s="1" t="b">
        <f t="shared" si="39"/>
        <v>1</v>
      </c>
      <c r="BC47">
        <f t="shared" si="40"/>
        <v>1992</v>
      </c>
      <c r="BD47" s="2">
        <f t="shared" si="10"/>
        <v>29417.845754110709</v>
      </c>
      <c r="BE47" s="2">
        <f t="shared" si="10"/>
        <v>36772.307192638385</v>
      </c>
      <c r="BF47" s="2"/>
      <c r="BG47" s="2"/>
      <c r="BH47" s="2">
        <f t="shared" si="11"/>
        <v>22063.384315583029</v>
      </c>
      <c r="BI47" s="2"/>
      <c r="BJ47" s="2">
        <f t="shared" si="12"/>
        <v>58835.691508221418</v>
      </c>
      <c r="BK47" s="2">
        <f t="shared" si="41"/>
        <v>147089.22877055354</v>
      </c>
      <c r="BL47" s="2">
        <f t="shared" si="42"/>
        <v>0</v>
      </c>
      <c r="BM47" s="2"/>
    </row>
    <row r="48" spans="1:65" x14ac:dyDescent="0.2">
      <c r="A48">
        <f t="shared" si="5"/>
        <v>1993</v>
      </c>
      <c r="B48" s="2">
        <f t="shared" si="13"/>
        <v>32327.270699192257</v>
      </c>
      <c r="C48" s="2">
        <f t="shared" si="14"/>
        <v>42100.614504851692</v>
      </c>
      <c r="D48" s="2"/>
      <c r="E48" s="2"/>
      <c r="F48" s="2">
        <f t="shared" si="15"/>
        <v>28791.392728776918</v>
      </c>
      <c r="G48" s="2"/>
      <c r="H48" s="2">
        <f t="shared" si="16"/>
        <v>64530.986446217248</v>
      </c>
      <c r="I48" s="2">
        <f t="shared" si="43"/>
        <v>167750.26437903813</v>
      </c>
      <c r="J48" s="2">
        <f t="shared" si="17"/>
        <v>15284.953596988285</v>
      </c>
      <c r="K48" s="83">
        <f t="shared" si="18"/>
        <v>0.10025200826723284</v>
      </c>
      <c r="L48" s="7">
        <f t="shared" si="19"/>
        <v>1.1002520082672329</v>
      </c>
      <c r="N48">
        <f t="shared" si="20"/>
        <v>1993</v>
      </c>
      <c r="O48" s="2">
        <f t="shared" si="21"/>
        <v>5526.6123078182209</v>
      </c>
      <c r="P48" s="2"/>
      <c r="Q48" s="2"/>
      <c r="R48">
        <f t="shared" si="22"/>
        <v>1993</v>
      </c>
      <c r="S48" s="2">
        <f t="shared" si="23"/>
        <v>30945.617622237703</v>
      </c>
      <c r="T48" s="2">
        <f t="shared" si="23"/>
        <v>40718.961427897135</v>
      </c>
      <c r="U48" s="2"/>
      <c r="V48" s="2"/>
      <c r="W48" s="2">
        <f t="shared" si="6"/>
        <v>27409.739651822361</v>
      </c>
      <c r="X48" s="2"/>
      <c r="Y48" s="2">
        <f t="shared" si="24"/>
        <v>63149.333369262691</v>
      </c>
      <c r="Z48" s="2">
        <f t="shared" si="25"/>
        <v>162223.6520712199</v>
      </c>
      <c r="AA48" s="2">
        <f t="shared" si="26"/>
        <v>15134.423300666356</v>
      </c>
      <c r="AB48" s="83">
        <f t="shared" si="27"/>
        <v>0.10289280477685246</v>
      </c>
      <c r="AC48" s="7">
        <f t="shared" si="28"/>
        <v>1.1028928047768525</v>
      </c>
      <c r="AD48" s="2">
        <f t="shared" si="29"/>
        <v>0</v>
      </c>
      <c r="AE48" s="2"/>
      <c r="AG48">
        <f t="shared" si="30"/>
        <v>1993</v>
      </c>
      <c r="AH48" s="6">
        <f t="shared" si="7"/>
        <v>0.19075897519957119</v>
      </c>
      <c r="AI48" s="6">
        <f t="shared" si="7"/>
        <v>0.25100508407997485</v>
      </c>
      <c r="AJ48" s="7"/>
      <c r="AK48" s="7"/>
      <c r="AL48" s="6">
        <f t="shared" si="31"/>
        <v>0.16896265927849324</v>
      </c>
      <c r="AM48" s="7"/>
      <c r="AN48" s="6">
        <f t="shared" si="32"/>
        <v>0.38927328144196066</v>
      </c>
      <c r="AO48" s="6">
        <f t="shared" si="33"/>
        <v>1</v>
      </c>
      <c r="AP48" s="7">
        <f t="shared" si="34"/>
        <v>0.61072671855803928</v>
      </c>
      <c r="AQ48" s="7">
        <f t="shared" si="35"/>
        <v>0</v>
      </c>
      <c r="AR48" s="24"/>
      <c r="AS48">
        <f t="shared" si="36"/>
        <v>1993</v>
      </c>
      <c r="AT48" s="1" t="b">
        <f t="shared" si="37"/>
        <v>1</v>
      </c>
      <c r="AU48" s="1" t="b">
        <f t="shared" si="38"/>
        <v>1</v>
      </c>
      <c r="AV48" s="1"/>
      <c r="AW48" s="1"/>
      <c r="AX48" s="1" t="b">
        <f t="shared" si="8"/>
        <v>1</v>
      </c>
      <c r="AY48" s="1"/>
      <c r="AZ48" s="1" t="b">
        <f t="shared" si="9"/>
        <v>1</v>
      </c>
      <c r="BA48" s="1" t="b">
        <f t="shared" si="39"/>
        <v>1</v>
      </c>
      <c r="BC48">
        <f t="shared" si="40"/>
        <v>1993</v>
      </c>
      <c r="BD48" s="2">
        <f t="shared" si="10"/>
        <v>32444.730414243983</v>
      </c>
      <c r="BE48" s="2">
        <f t="shared" si="10"/>
        <v>40555.913017804975</v>
      </c>
      <c r="BF48" s="2"/>
      <c r="BG48" s="2"/>
      <c r="BH48" s="2">
        <f t="shared" si="11"/>
        <v>24333.547810682983</v>
      </c>
      <c r="BI48" s="2"/>
      <c r="BJ48" s="2">
        <f t="shared" si="12"/>
        <v>64889.460828487965</v>
      </c>
      <c r="BK48" s="2">
        <f t="shared" si="41"/>
        <v>162223.6520712199</v>
      </c>
      <c r="BL48" s="2">
        <f t="shared" si="42"/>
        <v>0</v>
      </c>
      <c r="BM48" s="2"/>
    </row>
    <row r="49" spans="1:65" x14ac:dyDescent="0.2">
      <c r="A49">
        <f t="shared" si="5"/>
        <v>1994</v>
      </c>
      <c r="B49" s="2">
        <f t="shared" si="13"/>
        <v>32827.578233132066</v>
      </c>
      <c r="C49" s="2">
        <f t="shared" si="14"/>
        <v>39840.506712170893</v>
      </c>
      <c r="D49" s="2"/>
      <c r="E49" s="2"/>
      <c r="F49" s="2">
        <f t="shared" si="15"/>
        <v>25612.275748134376</v>
      </c>
      <c r="G49" s="2"/>
      <c r="H49" s="2">
        <f t="shared" si="16"/>
        <v>63163.40117045019</v>
      </c>
      <c r="I49" s="2">
        <f t="shared" si="43"/>
        <v>161443.76186388751</v>
      </c>
      <c r="J49" s="2">
        <f t="shared" si="17"/>
        <v>-6306.5025151506125</v>
      </c>
      <c r="K49" s="83">
        <f t="shared" si="18"/>
        <v>-3.7594590616565761E-2</v>
      </c>
      <c r="L49" s="7">
        <f t="shared" si="19"/>
        <v>0.96240540938343422</v>
      </c>
      <c r="N49">
        <f t="shared" si="20"/>
        <v>1994</v>
      </c>
      <c r="O49" s="2">
        <f t="shared" si="21"/>
        <v>5670.3042278214944</v>
      </c>
      <c r="P49" s="2"/>
      <c r="Q49" s="2"/>
      <c r="R49">
        <f t="shared" si="22"/>
        <v>1994</v>
      </c>
      <c r="S49" s="2">
        <f t="shared" si="23"/>
        <v>31410.002176176691</v>
      </c>
      <c r="T49" s="2">
        <f t="shared" si="23"/>
        <v>38422.930655215518</v>
      </c>
      <c r="U49" s="2"/>
      <c r="V49" s="2"/>
      <c r="W49" s="2">
        <f t="shared" si="6"/>
        <v>24194.699691179001</v>
      </c>
      <c r="X49" s="2"/>
      <c r="Y49" s="2">
        <f t="shared" si="24"/>
        <v>61745.825113494815</v>
      </c>
      <c r="Z49" s="2">
        <f t="shared" si="25"/>
        <v>155773.45763606604</v>
      </c>
      <c r="AA49" s="2">
        <f t="shared" si="26"/>
        <v>-6450.194435153855</v>
      </c>
      <c r="AB49" s="83">
        <f t="shared" si="27"/>
        <v>-3.9761122085465513E-2</v>
      </c>
      <c r="AC49" s="7">
        <f t="shared" si="28"/>
        <v>0.96023887791453444</v>
      </c>
      <c r="AD49" s="2">
        <f t="shared" si="29"/>
        <v>0</v>
      </c>
      <c r="AE49" s="2"/>
      <c r="AG49">
        <f t="shared" si="30"/>
        <v>1994</v>
      </c>
      <c r="AH49" s="6">
        <f t="shared" si="7"/>
        <v>0.20163898685204745</v>
      </c>
      <c r="AI49" s="6">
        <f t="shared" si="7"/>
        <v>0.24665903446133369</v>
      </c>
      <c r="AJ49" s="7"/>
      <c r="AK49" s="7"/>
      <c r="AL49" s="6">
        <f t="shared" si="31"/>
        <v>0.15531978334656438</v>
      </c>
      <c r="AM49" s="7"/>
      <c r="AN49" s="6">
        <f t="shared" si="32"/>
        <v>0.39638219534005437</v>
      </c>
      <c r="AO49" s="6">
        <f t="shared" si="33"/>
        <v>0.99999999999999989</v>
      </c>
      <c r="AP49" s="7">
        <f t="shared" si="34"/>
        <v>0.60361780465994552</v>
      </c>
      <c r="AQ49" s="7">
        <f t="shared" si="35"/>
        <v>0</v>
      </c>
      <c r="AR49" s="24"/>
      <c r="AS49">
        <f t="shared" si="36"/>
        <v>1994</v>
      </c>
      <c r="AT49" s="1" t="b">
        <f t="shared" si="37"/>
        <v>1</v>
      </c>
      <c r="AU49" s="1" t="b">
        <f t="shared" si="38"/>
        <v>1</v>
      </c>
      <c r="AV49" s="1"/>
      <c r="AW49" s="1"/>
      <c r="AX49" s="1" t="b">
        <f t="shared" si="8"/>
        <v>1</v>
      </c>
      <c r="AY49" s="1"/>
      <c r="AZ49" s="1" t="b">
        <f t="shared" si="9"/>
        <v>1</v>
      </c>
      <c r="BA49" s="1" t="b">
        <f t="shared" si="39"/>
        <v>1</v>
      </c>
      <c r="BC49">
        <f t="shared" si="40"/>
        <v>1994</v>
      </c>
      <c r="BD49" s="2">
        <f t="shared" si="10"/>
        <v>31154.69152721321</v>
      </c>
      <c r="BE49" s="2">
        <f t="shared" si="10"/>
        <v>38943.364409016511</v>
      </c>
      <c r="BF49" s="2"/>
      <c r="BG49" s="2"/>
      <c r="BH49" s="2">
        <f t="shared" si="11"/>
        <v>23366.018645409906</v>
      </c>
      <c r="BI49" s="2"/>
      <c r="BJ49" s="2">
        <f t="shared" si="12"/>
        <v>62309.38305442642</v>
      </c>
      <c r="BK49" s="2">
        <f t="shared" si="41"/>
        <v>155773.45763606604</v>
      </c>
      <c r="BL49" s="2">
        <f t="shared" si="42"/>
        <v>0</v>
      </c>
      <c r="BM49" s="2"/>
    </row>
    <row r="50" spans="1:65" x14ac:dyDescent="0.2">
      <c r="A50">
        <f t="shared" si="5"/>
        <v>1995</v>
      </c>
      <c r="B50" s="2">
        <f t="shared" si="13"/>
        <v>42822.123504154559</v>
      </c>
      <c r="C50" s="2">
        <f t="shared" si="14"/>
        <v>52105.053278331819</v>
      </c>
      <c r="D50" s="2"/>
      <c r="E50" s="2"/>
      <c r="F50" s="2">
        <f t="shared" si="15"/>
        <v>25619.904803946145</v>
      </c>
      <c r="G50" s="2"/>
      <c r="H50" s="2">
        <f t="shared" si="16"/>
        <v>73637.228893721142</v>
      </c>
      <c r="I50" s="2">
        <f t="shared" si="43"/>
        <v>194184.31048015365</v>
      </c>
      <c r="J50" s="2">
        <f t="shared" si="17"/>
        <v>32740.54861626614</v>
      </c>
      <c r="K50" s="83">
        <f t="shared" si="18"/>
        <v>0.20279847445495941</v>
      </c>
      <c r="L50" s="7">
        <f t="shared" si="19"/>
        <v>1.2027984744549594</v>
      </c>
      <c r="N50">
        <f t="shared" si="20"/>
        <v>1995</v>
      </c>
      <c r="O50" s="2">
        <f t="shared" si="21"/>
        <v>5812.0618335170311</v>
      </c>
      <c r="P50" s="2"/>
      <c r="Q50" s="2"/>
      <c r="R50">
        <f t="shared" si="22"/>
        <v>1995</v>
      </c>
      <c r="S50" s="2">
        <f t="shared" si="23"/>
        <v>41369.108045775298</v>
      </c>
      <c r="T50" s="2">
        <f t="shared" si="23"/>
        <v>50652.037819952558</v>
      </c>
      <c r="U50" s="2"/>
      <c r="V50" s="2"/>
      <c r="W50" s="2">
        <f t="shared" si="6"/>
        <v>24166.889345566888</v>
      </c>
      <c r="X50" s="2"/>
      <c r="Y50" s="2">
        <f t="shared" si="24"/>
        <v>72184.213435341881</v>
      </c>
      <c r="Z50" s="2">
        <f t="shared" si="25"/>
        <v>188372.24864663661</v>
      </c>
      <c r="AA50" s="2">
        <f t="shared" si="26"/>
        <v>32598.791010570567</v>
      </c>
      <c r="AB50" s="83">
        <f t="shared" si="27"/>
        <v>0.20927051055598453</v>
      </c>
      <c r="AC50" s="7">
        <f t="shared" si="28"/>
        <v>1.2092705105559844</v>
      </c>
      <c r="AD50" s="2">
        <f t="shared" si="29"/>
        <v>0</v>
      </c>
      <c r="AE50" s="2"/>
      <c r="AG50">
        <f t="shared" si="30"/>
        <v>1995</v>
      </c>
      <c r="AH50" s="6">
        <f t="shared" si="7"/>
        <v>0.21961360201936489</v>
      </c>
      <c r="AI50" s="6">
        <f t="shared" si="7"/>
        <v>0.26889331196003086</v>
      </c>
      <c r="AJ50" s="7"/>
      <c r="AK50" s="7"/>
      <c r="AL50" s="6">
        <f t="shared" si="31"/>
        <v>0.12829325720319359</v>
      </c>
      <c r="AM50" s="7"/>
      <c r="AN50" s="6">
        <f t="shared" si="32"/>
        <v>0.38319982881741071</v>
      </c>
      <c r="AO50" s="6">
        <f t="shared" si="33"/>
        <v>1</v>
      </c>
      <c r="AP50" s="7">
        <f t="shared" si="34"/>
        <v>0.61680017118258934</v>
      </c>
      <c r="AQ50" s="7">
        <f t="shared" si="35"/>
        <v>0</v>
      </c>
      <c r="AR50" s="24"/>
      <c r="AS50">
        <f t="shared" si="36"/>
        <v>1995</v>
      </c>
      <c r="AT50" s="1" t="b">
        <f t="shared" si="37"/>
        <v>1</v>
      </c>
      <c r="AU50" s="1" t="b">
        <f t="shared" si="38"/>
        <v>1</v>
      </c>
      <c r="AV50" s="1"/>
      <c r="AW50" s="1"/>
      <c r="AX50" s="1" t="b">
        <f t="shared" si="8"/>
        <v>0</v>
      </c>
      <c r="AY50" s="1"/>
      <c r="AZ50" s="1" t="b">
        <f t="shared" si="9"/>
        <v>1</v>
      </c>
      <c r="BA50" s="1" t="b">
        <f t="shared" si="39"/>
        <v>1</v>
      </c>
      <c r="BC50">
        <f t="shared" si="40"/>
        <v>1995</v>
      </c>
      <c r="BD50" s="2">
        <f t="shared" si="10"/>
        <v>37674.449729327323</v>
      </c>
      <c r="BE50" s="2">
        <f t="shared" si="10"/>
        <v>47093.062161659152</v>
      </c>
      <c r="BF50" s="2"/>
      <c r="BG50" s="2"/>
      <c r="BH50" s="2">
        <f t="shared" si="11"/>
        <v>28255.837296995491</v>
      </c>
      <c r="BI50" s="2"/>
      <c r="BJ50" s="2">
        <f t="shared" si="12"/>
        <v>75348.899458654647</v>
      </c>
      <c r="BK50" s="2">
        <f t="shared" si="41"/>
        <v>188372.24864663661</v>
      </c>
      <c r="BL50" s="2">
        <f t="shared" si="42"/>
        <v>0</v>
      </c>
      <c r="BM50" s="2"/>
    </row>
    <row r="51" spans="1:65" x14ac:dyDescent="0.2">
      <c r="A51">
        <f t="shared" si="5"/>
        <v>1996</v>
      </c>
      <c r="B51" s="2">
        <f t="shared" si="13"/>
        <v>46294.363827397421</v>
      </c>
      <c r="C51" s="2">
        <f t="shared" si="14"/>
        <v>55403.574841327136</v>
      </c>
      <c r="D51" s="2"/>
      <c r="E51" s="2"/>
      <c r="F51" s="2">
        <f t="shared" si="15"/>
        <v>31143.30131037546</v>
      </c>
      <c r="G51" s="2"/>
      <c r="H51" s="2">
        <f t="shared" si="16"/>
        <v>78046.39005927449</v>
      </c>
      <c r="I51" s="2">
        <f t="shared" si="43"/>
        <v>210887.63003837451</v>
      </c>
      <c r="J51" s="2">
        <f t="shared" si="17"/>
        <v>16703.319558220857</v>
      </c>
      <c r="K51" s="83">
        <f t="shared" si="18"/>
        <v>8.6017863734299982E-2</v>
      </c>
      <c r="L51" s="7">
        <f t="shared" si="19"/>
        <v>1.0860178637343001</v>
      </c>
      <c r="N51">
        <f t="shared" si="20"/>
        <v>1996</v>
      </c>
      <c r="O51" s="2">
        <f t="shared" si="21"/>
        <v>6009.6719358566106</v>
      </c>
      <c r="P51" s="2"/>
      <c r="Q51" s="2"/>
      <c r="R51">
        <f t="shared" si="22"/>
        <v>1996</v>
      </c>
      <c r="S51" s="2">
        <f t="shared" si="23"/>
        <v>44791.94584343327</v>
      </c>
      <c r="T51" s="2">
        <f t="shared" si="23"/>
        <v>53901.156857362985</v>
      </c>
      <c r="U51" s="2"/>
      <c r="V51" s="2"/>
      <c r="W51" s="2">
        <f t="shared" si="6"/>
        <v>29640.883326411309</v>
      </c>
      <c r="X51" s="2"/>
      <c r="Y51" s="2">
        <f t="shared" si="24"/>
        <v>76543.972075310332</v>
      </c>
      <c r="Z51" s="2">
        <f t="shared" si="25"/>
        <v>204877.95810251788</v>
      </c>
      <c r="AA51" s="2">
        <f t="shared" si="26"/>
        <v>16505.709455881268</v>
      </c>
      <c r="AB51" s="83">
        <f t="shared" si="27"/>
        <v>8.762282966024347E-2</v>
      </c>
      <c r="AC51" s="7">
        <f t="shared" si="28"/>
        <v>1.0876228296602435</v>
      </c>
      <c r="AD51" s="2">
        <f t="shared" si="29"/>
        <v>0</v>
      </c>
      <c r="AE51" s="2"/>
      <c r="AG51">
        <f t="shared" si="30"/>
        <v>1996</v>
      </c>
      <c r="AH51" s="6">
        <f t="shared" si="7"/>
        <v>0.21862745147538051</v>
      </c>
      <c r="AI51" s="6">
        <f t="shared" si="7"/>
        <v>0.2630890963409136</v>
      </c>
      <c r="AJ51" s="7"/>
      <c r="AK51" s="7"/>
      <c r="AL51" s="6">
        <f t="shared" si="31"/>
        <v>0.14467580407834527</v>
      </c>
      <c r="AM51" s="6"/>
      <c r="AN51" s="38">
        <f t="shared" si="32"/>
        <v>0.37360764810536068</v>
      </c>
      <c r="AO51" s="6">
        <f t="shared" si="33"/>
        <v>1</v>
      </c>
      <c r="AP51" s="7">
        <f t="shared" si="34"/>
        <v>0.62639235189463938</v>
      </c>
      <c r="AQ51" s="7">
        <f t="shared" si="35"/>
        <v>0</v>
      </c>
      <c r="AR51" s="24"/>
      <c r="AS51">
        <f t="shared" si="36"/>
        <v>1996</v>
      </c>
      <c r="AT51" s="1" t="b">
        <f t="shared" si="37"/>
        <v>1</v>
      </c>
      <c r="AU51" s="1" t="b">
        <f t="shared" si="38"/>
        <v>1</v>
      </c>
      <c r="AV51" s="1"/>
      <c r="AW51" s="1"/>
      <c r="AX51" s="1" t="b">
        <f t="shared" si="8"/>
        <v>0</v>
      </c>
      <c r="AY51" s="1"/>
      <c r="AZ51" s="1" t="b">
        <f t="shared" si="9"/>
        <v>1</v>
      </c>
      <c r="BA51" s="1" t="b">
        <f t="shared" si="39"/>
        <v>1</v>
      </c>
      <c r="BC51">
        <f t="shared" si="40"/>
        <v>1996</v>
      </c>
      <c r="BD51" s="2">
        <f t="shared" si="10"/>
        <v>40975.591620503576</v>
      </c>
      <c r="BE51" s="2">
        <f t="shared" si="10"/>
        <v>51219.489525629469</v>
      </c>
      <c r="BF51" s="2"/>
      <c r="BG51" s="2"/>
      <c r="BH51" s="2">
        <f t="shared" si="11"/>
        <v>30731.693715377682</v>
      </c>
      <c r="BI51" s="2"/>
      <c r="BJ51" s="2">
        <f t="shared" si="12"/>
        <v>81951.183241007151</v>
      </c>
      <c r="BK51" s="2">
        <f t="shared" si="41"/>
        <v>204877.95810251788</v>
      </c>
      <c r="BL51" s="2">
        <f t="shared" si="42"/>
        <v>0</v>
      </c>
      <c r="BM51" s="2"/>
    </row>
    <row r="52" spans="1:65" x14ac:dyDescent="0.2">
      <c r="A52">
        <f t="shared" si="5"/>
        <v>1997</v>
      </c>
      <c r="B52" s="2">
        <f t="shared" si="13"/>
        <v>54575.390479348716</v>
      </c>
      <c r="C52" s="2">
        <f t="shared" si="14"/>
        <v>64888.434695334203</v>
      </c>
      <c r="D52" s="2"/>
      <c r="E52" s="2"/>
      <c r="F52" s="2"/>
      <c r="G52" s="2">
        <f>BH51*(1+(G13/100))</f>
        <v>30493.523089083505</v>
      </c>
      <c r="H52" s="2">
        <f t="shared" si="16"/>
        <v>89687.374938958223</v>
      </c>
      <c r="I52" s="2">
        <f t="shared" si="43"/>
        <v>239644.72320272465</v>
      </c>
      <c r="J52" s="2">
        <f t="shared" si="17"/>
        <v>28757.093164350139</v>
      </c>
      <c r="K52" s="83">
        <f t="shared" si="18"/>
        <v>0.13636216196804576</v>
      </c>
      <c r="L52" s="7">
        <f t="shared" si="19"/>
        <v>1.1363621619680457</v>
      </c>
      <c r="N52">
        <f t="shared" si="20"/>
        <v>1997</v>
      </c>
      <c r="O52" s="2">
        <f t="shared" si="21"/>
        <v>6111.8363587661725</v>
      </c>
      <c r="P52" s="2"/>
      <c r="Q52" s="2"/>
      <c r="R52">
        <f t="shared" si="22"/>
        <v>1997</v>
      </c>
      <c r="S52" s="2">
        <f t="shared" si="23"/>
        <v>53047.431389657177</v>
      </c>
      <c r="T52" s="2">
        <f t="shared" si="23"/>
        <v>63360.475605642663</v>
      </c>
      <c r="U52" s="2"/>
      <c r="V52" s="2"/>
      <c r="W52" s="2"/>
      <c r="X52" s="2">
        <f>G52-($O52/4)</f>
        <v>28965.563999391961</v>
      </c>
      <c r="Y52" s="2">
        <f t="shared" si="24"/>
        <v>88159.415849266676</v>
      </c>
      <c r="Z52" s="2">
        <f t="shared" si="25"/>
        <v>233532.88684395846</v>
      </c>
      <c r="AA52" s="2">
        <f t="shared" si="26"/>
        <v>28654.928741440584</v>
      </c>
      <c r="AB52" s="83">
        <f t="shared" si="27"/>
        <v>0.13986340456937824</v>
      </c>
      <c r="AC52" s="7">
        <f t="shared" si="28"/>
        <v>1.1398634045693783</v>
      </c>
      <c r="AD52" s="2">
        <f t="shared" si="29"/>
        <v>0</v>
      </c>
      <c r="AE52" s="2"/>
      <c r="AG52">
        <f t="shared" si="30"/>
        <v>1997</v>
      </c>
      <c r="AH52" s="6">
        <f t="shared" si="7"/>
        <v>0.22715186758729319</v>
      </c>
      <c r="AI52" s="6">
        <f t="shared" si="7"/>
        <v>0.27131286073630706</v>
      </c>
      <c r="AJ52" s="7"/>
      <c r="AK52" s="7"/>
      <c r="AL52" s="6"/>
      <c r="AM52" s="6">
        <f t="shared" si="31"/>
        <v>0.12403205557402334</v>
      </c>
      <c r="AN52" s="6">
        <f t="shared" si="32"/>
        <v>0.37750321610237642</v>
      </c>
      <c r="AO52" s="6">
        <f t="shared" si="33"/>
        <v>1</v>
      </c>
      <c r="AP52" s="7">
        <f t="shared" si="34"/>
        <v>0.62249678389762353</v>
      </c>
      <c r="AQ52" s="7">
        <f t="shared" si="35"/>
        <v>0</v>
      </c>
      <c r="AR52" s="24"/>
      <c r="AS52">
        <f t="shared" si="36"/>
        <v>1997</v>
      </c>
      <c r="AT52" s="1" t="b">
        <f t="shared" si="37"/>
        <v>1</v>
      </c>
      <c r="AU52" s="1" t="b">
        <f t="shared" si="38"/>
        <v>1</v>
      </c>
      <c r="AV52" s="1"/>
      <c r="AW52" s="1"/>
      <c r="AX52" s="1"/>
      <c r="AY52" s="1" t="b">
        <f>AND((X52/$Z52)&gt;0.1,(X52/$Z52)&lt;0.2)</f>
        <v>1</v>
      </c>
      <c r="AZ52" s="1" t="b">
        <f t="shared" si="9"/>
        <v>1</v>
      </c>
      <c r="BA52" s="1" t="b">
        <f t="shared" si="39"/>
        <v>1</v>
      </c>
      <c r="BC52">
        <f t="shared" si="40"/>
        <v>1997</v>
      </c>
      <c r="BD52" s="2">
        <f t="shared" si="10"/>
        <v>46706.577368791695</v>
      </c>
      <c r="BE52" s="2">
        <f t="shared" si="10"/>
        <v>58383.221710989616</v>
      </c>
      <c r="BF52" s="2"/>
      <c r="BG52" s="2"/>
      <c r="BH52" s="2"/>
      <c r="BI52" s="2">
        <f>$BK52*BI$42</f>
        <v>35029.933026593768</v>
      </c>
      <c r="BJ52" s="2">
        <f t="shared" si="12"/>
        <v>93413.154737583391</v>
      </c>
      <c r="BK52" s="2">
        <f t="shared" si="41"/>
        <v>233532.88684395846</v>
      </c>
      <c r="BL52" s="2">
        <f t="shared" si="42"/>
        <v>0</v>
      </c>
      <c r="BM52" s="2"/>
    </row>
    <row r="53" spans="1:65" x14ac:dyDescent="0.2">
      <c r="A53">
        <f t="shared" si="5"/>
        <v>1998</v>
      </c>
      <c r="B53" s="2">
        <f t="shared" si="13"/>
        <v>60092.682442687394</v>
      </c>
      <c r="C53" s="2">
        <f t="shared" si="14"/>
        <v>63259.972220508585</v>
      </c>
      <c r="D53" s="2"/>
      <c r="E53" s="2"/>
      <c r="F53" s="2"/>
      <c r="G53" s="2">
        <f t="shared" ref="G53:G73" si="44">BI52*(1+(G14/100))</f>
        <v>40495.65347673319</v>
      </c>
      <c r="H53" s="2">
        <f t="shared" si="16"/>
        <v>101428.00341406805</v>
      </c>
      <c r="I53" s="2">
        <f t="shared" si="43"/>
        <v>265276.31155399722</v>
      </c>
      <c r="J53" s="2">
        <f t="shared" si="17"/>
        <v>25631.58835127257</v>
      </c>
      <c r="K53" s="83">
        <f t="shared" si="18"/>
        <v>0.10695661481179299</v>
      </c>
      <c r="L53" s="7">
        <f t="shared" si="19"/>
        <v>1.1069566148117931</v>
      </c>
      <c r="N53">
        <f t="shared" si="20"/>
        <v>1998</v>
      </c>
      <c r="O53" s="2">
        <f t="shared" si="21"/>
        <v>6209.6257405064316</v>
      </c>
      <c r="P53" s="2"/>
      <c r="Q53" s="2"/>
      <c r="R53">
        <f t="shared" si="22"/>
        <v>1998</v>
      </c>
      <c r="S53" s="2">
        <f>B53-($O53/4)</f>
        <v>58540.276007560788</v>
      </c>
      <c r="T53" s="2">
        <f>C53-($O53/4)</f>
        <v>61707.565785381979</v>
      </c>
      <c r="U53" s="2"/>
      <c r="V53" s="2"/>
      <c r="W53" s="2"/>
      <c r="X53" s="2">
        <f>G53-($O53/4)</f>
        <v>38943.247041606584</v>
      </c>
      <c r="Y53" s="2">
        <f>H53-($O53/4)</f>
        <v>99875.596978941438</v>
      </c>
      <c r="Z53" s="2">
        <f t="shared" si="25"/>
        <v>259066.6858134908</v>
      </c>
      <c r="AA53" s="2">
        <f t="shared" si="26"/>
        <v>25533.798969532334</v>
      </c>
      <c r="AB53" s="83">
        <f t="shared" si="27"/>
        <v>0.1093370587526435</v>
      </c>
      <c r="AC53" s="7">
        <f t="shared" si="28"/>
        <v>1.1093370587526434</v>
      </c>
      <c r="AD53" s="2">
        <f t="shared" si="29"/>
        <v>0</v>
      </c>
      <c r="AE53" s="2"/>
      <c r="AG53">
        <f t="shared" si="30"/>
        <v>1998</v>
      </c>
      <c r="AH53" s="38">
        <f t="shared" si="7"/>
        <v>0.22596605126490688</v>
      </c>
      <c r="AI53" s="6">
        <f t="shared" si="7"/>
        <v>0.23819182150578383</v>
      </c>
      <c r="AJ53" s="7"/>
      <c r="AK53" s="7"/>
      <c r="AL53" s="7"/>
      <c r="AM53" s="6">
        <f t="shared" si="31"/>
        <v>0.15032132332770448</v>
      </c>
      <c r="AN53" s="6">
        <f t="shared" si="32"/>
        <v>0.38552080390160476</v>
      </c>
      <c r="AO53" s="6">
        <f t="shared" si="33"/>
        <v>1</v>
      </c>
      <c r="AP53" s="7">
        <f t="shared" si="34"/>
        <v>0.61447919609839519</v>
      </c>
      <c r="AQ53" s="7">
        <f t="shared" si="35"/>
        <v>0</v>
      </c>
      <c r="AR53" s="24"/>
      <c r="AS53">
        <f t="shared" si="36"/>
        <v>1998</v>
      </c>
      <c r="AT53" s="1" t="b">
        <f t="shared" si="37"/>
        <v>1</v>
      </c>
      <c r="AU53" s="1" t="b">
        <f t="shared" si="38"/>
        <v>1</v>
      </c>
      <c r="AV53" s="1"/>
      <c r="AW53" s="1"/>
      <c r="AX53" s="1"/>
      <c r="AY53" s="1" t="b">
        <f t="shared" ref="AY53:AY75" si="45">AND((X53/$Z53)&gt;0.1,(X53/$Z53)&lt;0.2)</f>
        <v>1</v>
      </c>
      <c r="AZ53" s="1" t="b">
        <f t="shared" si="9"/>
        <v>1</v>
      </c>
      <c r="BA53" s="1" t="b">
        <f t="shared" si="39"/>
        <v>1</v>
      </c>
      <c r="BC53">
        <f t="shared" si="40"/>
        <v>1998</v>
      </c>
      <c r="BD53" s="2">
        <f t="shared" si="10"/>
        <v>51813.337162698161</v>
      </c>
      <c r="BE53" s="2">
        <f t="shared" si="10"/>
        <v>64766.671453372699</v>
      </c>
      <c r="BF53" s="2"/>
      <c r="BG53" s="2"/>
      <c r="BH53" s="2"/>
      <c r="BI53" s="2">
        <f>$BK53*BI$42</f>
        <v>38860.002872023615</v>
      </c>
      <c r="BJ53" s="2">
        <f t="shared" si="12"/>
        <v>103626.67432539632</v>
      </c>
      <c r="BK53" s="2">
        <f t="shared" si="41"/>
        <v>259066.6858134908</v>
      </c>
      <c r="BL53" s="2">
        <f t="shared" si="42"/>
        <v>0</v>
      </c>
      <c r="BM53" s="2"/>
    </row>
    <row r="54" spans="1:65" x14ac:dyDescent="0.2">
      <c r="A54">
        <f t="shared" si="5"/>
        <v>1999</v>
      </c>
      <c r="B54" s="2">
        <f t="shared" ref="B54:B73" si="46">BD53*(1+(B15/100))</f>
        <v>62730.407302878666</v>
      </c>
      <c r="C54" s="2"/>
      <c r="D54" s="2">
        <f>($BE53*0.6)*(1+(D15/100))</f>
        <v>44812.966711988913</v>
      </c>
      <c r="E54" s="2">
        <f>($BE53*0.4)*(1+(E15/100))</f>
        <v>31899.658224272564</v>
      </c>
      <c r="F54" s="2"/>
      <c r="G54" s="2">
        <f t="shared" si="44"/>
        <v>50486.527131304363</v>
      </c>
      <c r="H54" s="2">
        <f t="shared" si="16"/>
        <v>102839.11160052331</v>
      </c>
      <c r="I54" s="2">
        <f t="shared" si="43"/>
        <v>292768.6709709678</v>
      </c>
      <c r="J54" s="2">
        <f t="shared" si="17"/>
        <v>27492.359416970576</v>
      </c>
      <c r="K54" s="83">
        <f t="shared" si="18"/>
        <v>0.10363669208124708</v>
      </c>
      <c r="L54" s="7">
        <f t="shared" si="19"/>
        <v>1.103636692081247</v>
      </c>
      <c r="N54">
        <f t="shared" si="20"/>
        <v>1999</v>
      </c>
      <c r="O54" s="2">
        <f t="shared" si="21"/>
        <v>6377.2856355001049</v>
      </c>
      <c r="P54" s="2"/>
      <c r="Q54" s="2"/>
      <c r="R54">
        <f t="shared" si="22"/>
        <v>1999</v>
      </c>
      <c r="S54" s="2">
        <f>B54-($O54/5)</f>
        <v>61454.950175778642</v>
      </c>
      <c r="T54" s="2"/>
      <c r="U54" s="2">
        <f>D54-($O54/5)</f>
        <v>43537.509584888889</v>
      </c>
      <c r="V54" s="2">
        <f>E54-($O54/5)</f>
        <v>30624.201097172543</v>
      </c>
      <c r="W54" s="2"/>
      <c r="X54" s="2">
        <f>G54-($O54/5)</f>
        <v>49211.070004204339</v>
      </c>
      <c r="Y54" s="2">
        <f>H54-($O54/5)</f>
        <v>101563.65447342329</v>
      </c>
      <c r="Z54" s="2">
        <f t="shared" si="25"/>
        <v>286391.3853354677</v>
      </c>
      <c r="AA54" s="2">
        <f t="shared" si="26"/>
        <v>27324.699521976901</v>
      </c>
      <c r="AB54" s="83">
        <f t="shared" si="27"/>
        <v>0.10547361362258945</v>
      </c>
      <c r="AC54" s="7">
        <f t="shared" si="28"/>
        <v>1.1054736136225896</v>
      </c>
      <c r="AD54" s="2">
        <f t="shared" si="29"/>
        <v>0</v>
      </c>
      <c r="AE54" s="2"/>
      <c r="AG54">
        <f t="shared" si="30"/>
        <v>1999</v>
      </c>
      <c r="AH54" s="6">
        <f t="shared" si="7"/>
        <v>0.21458379449435153</v>
      </c>
      <c r="AI54" s="7"/>
      <c r="AJ54" s="6">
        <f t="shared" ref="AJ54:AK69" si="47">U54/$Z54</f>
        <v>0.1520210167421438</v>
      </c>
      <c r="AK54" s="6">
        <f t="shared" si="47"/>
        <v>0.1069312928575018</v>
      </c>
      <c r="AL54" s="7"/>
      <c r="AM54" s="6">
        <f t="shared" si="31"/>
        <v>0.17183153029048137</v>
      </c>
      <c r="AN54" s="6">
        <f t="shared" si="32"/>
        <v>0.35463236561552153</v>
      </c>
      <c r="AO54" s="6">
        <f t="shared" si="33"/>
        <v>1</v>
      </c>
      <c r="AP54" s="7">
        <f t="shared" si="34"/>
        <v>0.64536763438447853</v>
      </c>
      <c r="AQ54" s="7">
        <f t="shared" si="35"/>
        <v>0</v>
      </c>
      <c r="AR54" s="24"/>
      <c r="AS54">
        <f t="shared" si="36"/>
        <v>1999</v>
      </c>
      <c r="AT54" s="1" t="b">
        <f t="shared" si="37"/>
        <v>1</v>
      </c>
      <c r="AU54" s="1"/>
      <c r="AV54" s="1" t="b">
        <f>AND((U54/$Z54)&gt;0.1,(U54/$Z54)&lt;0.2)</f>
        <v>1</v>
      </c>
      <c r="AW54" s="1" t="b">
        <f>AND((V54/$Z54)&gt;0.05,(V54/$Z54)&lt;0.15)</f>
        <v>1</v>
      </c>
      <c r="AX54" s="1"/>
      <c r="AY54" s="1" t="b">
        <f t="shared" si="45"/>
        <v>1</v>
      </c>
      <c r="AZ54" s="1" t="b">
        <f t="shared" si="9"/>
        <v>1</v>
      </c>
      <c r="BA54" s="1" t="b">
        <f t="shared" si="39"/>
        <v>1</v>
      </c>
      <c r="BC54">
        <f t="shared" si="40"/>
        <v>1999</v>
      </c>
      <c r="BD54" s="2">
        <f>$BK54*BD$42</f>
        <v>57278.277067093542</v>
      </c>
      <c r="BE54" s="2"/>
      <c r="BF54" s="2">
        <f t="shared" ref="BF54:BG69" si="48">$BK54*BF$42</f>
        <v>42958.707800320153</v>
      </c>
      <c r="BG54" s="2">
        <f t="shared" si="48"/>
        <v>28639.138533546771</v>
      </c>
      <c r="BH54" s="2"/>
      <c r="BI54" s="2">
        <f>$BK54*BI$42</f>
        <v>42958.707800320153</v>
      </c>
      <c r="BJ54" s="2">
        <f t="shared" si="12"/>
        <v>114556.55413418708</v>
      </c>
      <c r="BK54" s="2">
        <f t="shared" si="41"/>
        <v>286391.3853354677</v>
      </c>
      <c r="BL54" s="2">
        <f t="shared" si="42"/>
        <v>0</v>
      </c>
      <c r="BM54" s="2"/>
    </row>
    <row r="55" spans="1:65" x14ac:dyDescent="0.2">
      <c r="A55">
        <f t="shared" si="5"/>
        <v>2000</v>
      </c>
      <c r="B55" s="2">
        <f t="shared" si="46"/>
        <v>52088.865164814866</v>
      </c>
      <c r="C55" s="2"/>
      <c r="D55" s="2">
        <f t="shared" ref="D55:D73" si="49">BF54*(1+(D16/100))</f>
        <v>50733.374738022088</v>
      </c>
      <c r="E55" s="2">
        <f t="shared" ref="E55:E73" si="50">BG54*(1+(E16/100))</f>
        <v>27875.905491627753</v>
      </c>
      <c r="F55" s="2"/>
      <c r="G55" s="2">
        <f t="shared" si="44"/>
        <v>36251.135164378167</v>
      </c>
      <c r="H55" s="2">
        <f t="shared" si="16"/>
        <v>127604.54565007101</v>
      </c>
      <c r="I55" s="2">
        <f t="shared" si="43"/>
        <v>294553.82620891387</v>
      </c>
      <c r="J55" s="2">
        <f t="shared" si="17"/>
        <v>1785.1552379460772</v>
      </c>
      <c r="K55" s="83">
        <f t="shared" si="18"/>
        <v>6.097494079628148E-3</v>
      </c>
      <c r="L55" s="7">
        <f t="shared" si="19"/>
        <v>1.0060974940796281</v>
      </c>
      <c r="N55">
        <f t="shared" si="20"/>
        <v>2000</v>
      </c>
      <c r="O55" s="2">
        <f t="shared" si="21"/>
        <v>6594.1133471071089</v>
      </c>
      <c r="P55" s="2"/>
      <c r="Q55" s="2"/>
      <c r="R55">
        <f t="shared" si="22"/>
        <v>2000</v>
      </c>
      <c r="S55" s="2">
        <f t="shared" ref="S55:S71" si="51">B55-($O55/5)</f>
        <v>50770.042495393442</v>
      </c>
      <c r="T55" s="2"/>
      <c r="U55" s="2">
        <f t="shared" ref="U55:V70" si="52">D55-($O55/5)</f>
        <v>49414.552068600664</v>
      </c>
      <c r="V55" s="2">
        <f t="shared" si="52"/>
        <v>26557.082822206332</v>
      </c>
      <c r="W55" s="2"/>
      <c r="X55" s="2">
        <f t="shared" ref="X55:Y70" si="53">G55-($O55/5)</f>
        <v>34932.312494956743</v>
      </c>
      <c r="Y55" s="2">
        <f t="shared" si="53"/>
        <v>126285.72298064959</v>
      </c>
      <c r="Z55" s="2">
        <f t="shared" si="25"/>
        <v>287959.71286180674</v>
      </c>
      <c r="AA55" s="2">
        <f t="shared" si="26"/>
        <v>1568.3275263390387</v>
      </c>
      <c r="AB55" s="83">
        <f t="shared" si="27"/>
        <v>5.4761686511693121E-3</v>
      </c>
      <c r="AC55" s="7">
        <f t="shared" si="28"/>
        <v>1.0054761686511693</v>
      </c>
      <c r="AD55" s="2">
        <f t="shared" si="29"/>
        <v>0</v>
      </c>
      <c r="AE55" s="2"/>
      <c r="AG55">
        <f t="shared" si="30"/>
        <v>2000</v>
      </c>
      <c r="AH55" s="6">
        <f t="shared" si="7"/>
        <v>0.17630953299275665</v>
      </c>
      <c r="AI55" s="7"/>
      <c r="AJ55" s="6">
        <f t="shared" si="47"/>
        <v>0.17160231053680397</v>
      </c>
      <c r="AK55" s="6">
        <f t="shared" si="47"/>
        <v>9.2224994108641878E-2</v>
      </c>
      <c r="AL55" s="7"/>
      <c r="AM55" s="6">
        <f t="shared" si="31"/>
        <v>0.12130972123770983</v>
      </c>
      <c r="AN55" s="6">
        <f t="shared" si="32"/>
        <v>0.43855344112408778</v>
      </c>
      <c r="AO55" s="6">
        <f t="shared" si="33"/>
        <v>1</v>
      </c>
      <c r="AP55" s="7">
        <f t="shared" si="34"/>
        <v>0.56144655887591233</v>
      </c>
      <c r="AQ55" s="7">
        <f t="shared" si="35"/>
        <v>0</v>
      </c>
      <c r="AR55" s="24"/>
      <c r="AS55">
        <f t="shared" si="36"/>
        <v>2000</v>
      </c>
      <c r="AT55" s="1" t="b">
        <f t="shared" si="37"/>
        <v>1</v>
      </c>
      <c r="AU55" s="1"/>
      <c r="AV55" s="1" t="b">
        <f t="shared" ref="AV55:AV75" si="54">AND((U55/$Z55)&gt;0.1,(U55/$Z55)&lt;0.2)</f>
        <v>1</v>
      </c>
      <c r="AW55" s="1" t="b">
        <f t="shared" ref="AW55:AW75" si="55">AND((V55/$Z55)&gt;0.05,(V55/$Z55)&lt;0.15)</f>
        <v>1</v>
      </c>
      <c r="AX55" s="1"/>
      <c r="AY55" s="1" t="b">
        <f t="shared" si="45"/>
        <v>1</v>
      </c>
      <c r="AZ55" s="1" t="b">
        <f t="shared" si="9"/>
        <v>1</v>
      </c>
      <c r="BA55" s="1" t="b">
        <f t="shared" si="39"/>
        <v>1</v>
      </c>
      <c r="BC55">
        <f t="shared" si="40"/>
        <v>2000</v>
      </c>
      <c r="BD55" s="2">
        <f>$BK55*BD$42</f>
        <v>57591.942572361353</v>
      </c>
      <c r="BE55" s="2"/>
      <c r="BF55" s="2">
        <f t="shared" si="48"/>
        <v>43193.956929271008</v>
      </c>
      <c r="BG55" s="2">
        <f t="shared" si="48"/>
        <v>28795.971286180677</v>
      </c>
      <c r="BH55" s="2"/>
      <c r="BI55" s="2">
        <f>$BK55*BI$42</f>
        <v>43193.956929271008</v>
      </c>
      <c r="BJ55" s="2">
        <f t="shared" si="12"/>
        <v>115183.88514472271</v>
      </c>
      <c r="BK55" s="2">
        <f t="shared" si="41"/>
        <v>287959.71286180674</v>
      </c>
      <c r="BL55" s="2">
        <f t="shared" si="42"/>
        <v>0</v>
      </c>
      <c r="BM55" s="2"/>
    </row>
    <row r="56" spans="1:65" x14ac:dyDescent="0.2">
      <c r="A56">
        <f t="shared" si="5"/>
        <v>2001</v>
      </c>
      <c r="B56" s="2">
        <f t="shared" si="46"/>
        <v>50669.391075163519</v>
      </c>
      <c r="C56" s="2"/>
      <c r="D56" s="2">
        <f t="shared" si="49"/>
        <v>42978.419084193942</v>
      </c>
      <c r="E56" s="2">
        <f t="shared" si="50"/>
        <v>29688.646396052274</v>
      </c>
      <c r="F56" s="2"/>
      <c r="G56" s="2">
        <f t="shared" si="44"/>
        <v>34489.078789315019</v>
      </c>
      <c r="H56" s="2">
        <f t="shared" si="16"/>
        <v>124893.88666242284</v>
      </c>
      <c r="I56" s="2">
        <f t="shared" si="43"/>
        <v>282719.42200714757</v>
      </c>
      <c r="J56" s="2">
        <f t="shared" si="17"/>
        <v>-11834.404201766301</v>
      </c>
      <c r="K56" s="83">
        <f t="shared" si="18"/>
        <v>-4.0177390849347468E-2</v>
      </c>
      <c r="L56" s="7">
        <f t="shared" si="19"/>
        <v>0.95982260915065254</v>
      </c>
      <c r="N56">
        <f t="shared" si="20"/>
        <v>2001</v>
      </c>
      <c r="O56" s="2">
        <f t="shared" si="21"/>
        <v>6699.6191606608227</v>
      </c>
      <c r="P56" s="2"/>
      <c r="Q56" s="2"/>
      <c r="R56">
        <f t="shared" si="22"/>
        <v>2001</v>
      </c>
      <c r="S56" s="2">
        <f t="shared" si="51"/>
        <v>49329.467243031351</v>
      </c>
      <c r="T56" s="2"/>
      <c r="U56" s="2">
        <f t="shared" si="52"/>
        <v>41638.495252061781</v>
      </c>
      <c r="V56" s="2">
        <f t="shared" si="52"/>
        <v>28348.72256392011</v>
      </c>
      <c r="W56" s="2"/>
      <c r="X56" s="2">
        <f t="shared" si="53"/>
        <v>33149.154957182851</v>
      </c>
      <c r="Y56" s="2">
        <f t="shared" si="53"/>
        <v>123553.96283029068</v>
      </c>
      <c r="Z56" s="2">
        <f t="shared" si="25"/>
        <v>276019.80284648674</v>
      </c>
      <c r="AA56" s="2">
        <f t="shared" si="26"/>
        <v>-11939.910015319998</v>
      </c>
      <c r="AB56" s="83">
        <f t="shared" si="27"/>
        <v>-4.1463821090313484E-2</v>
      </c>
      <c r="AC56" s="7">
        <f t="shared" si="28"/>
        <v>0.95853617890968656</v>
      </c>
      <c r="AD56" s="2">
        <f t="shared" si="29"/>
        <v>0</v>
      </c>
      <c r="AE56" s="2"/>
      <c r="AG56">
        <f t="shared" si="30"/>
        <v>2001</v>
      </c>
      <c r="AH56" s="6">
        <f t="shared" si="7"/>
        <v>0.17871713092435909</v>
      </c>
      <c r="AI56" s="7"/>
      <c r="AJ56" s="6">
        <f t="shared" si="47"/>
        <v>0.15085328959248537</v>
      </c>
      <c r="AK56" s="6">
        <f t="shared" si="47"/>
        <v>0.10270539385787023</v>
      </c>
      <c r="AL56" s="7"/>
      <c r="AM56" s="6">
        <f t="shared" si="31"/>
        <v>0.1200970170086649</v>
      </c>
      <c r="AN56" s="59">
        <f t="shared" si="32"/>
        <v>0.44762716861662055</v>
      </c>
      <c r="AO56" s="6">
        <f t="shared" si="33"/>
        <v>1.0000000000000002</v>
      </c>
      <c r="AP56" s="7">
        <f t="shared" si="34"/>
        <v>0.55237283138337967</v>
      </c>
      <c r="AQ56" s="7">
        <f t="shared" si="35"/>
        <v>0</v>
      </c>
      <c r="AR56" s="24"/>
      <c r="AS56">
        <f t="shared" si="36"/>
        <v>2001</v>
      </c>
      <c r="AT56" s="1" t="b">
        <f t="shared" si="37"/>
        <v>1</v>
      </c>
      <c r="AU56" s="1"/>
      <c r="AV56" s="1" t="b">
        <f t="shared" si="54"/>
        <v>1</v>
      </c>
      <c r="AW56" s="1" t="b">
        <f t="shared" si="55"/>
        <v>1</v>
      </c>
      <c r="AX56" s="1"/>
      <c r="AY56" s="1" t="b">
        <f t="shared" si="45"/>
        <v>1</v>
      </c>
      <c r="AZ56" s="1" t="b">
        <f t="shared" si="9"/>
        <v>1</v>
      </c>
      <c r="BA56" s="1" t="b">
        <f t="shared" si="39"/>
        <v>1</v>
      </c>
      <c r="BC56">
        <f t="shared" si="40"/>
        <v>2001</v>
      </c>
      <c r="BD56" s="2">
        <f t="shared" ref="BD56:BD71" si="56">$BK56*BD$42</f>
        <v>55203.960569297349</v>
      </c>
      <c r="BE56" s="2"/>
      <c r="BF56" s="2">
        <f t="shared" si="48"/>
        <v>41402.970426973006</v>
      </c>
      <c r="BG56" s="2">
        <f t="shared" si="48"/>
        <v>27601.980284648675</v>
      </c>
      <c r="BH56" s="2"/>
      <c r="BI56" s="2">
        <f t="shared" ref="BI56:BI71" si="57">$BK56*BI$42</f>
        <v>41402.970426973006</v>
      </c>
      <c r="BJ56" s="2">
        <f t="shared" si="12"/>
        <v>110407.9211385947</v>
      </c>
      <c r="BK56" s="2">
        <f t="shared" si="41"/>
        <v>276019.80284648674</v>
      </c>
      <c r="BL56" s="2">
        <f t="shared" si="42"/>
        <v>0</v>
      </c>
      <c r="BM56" s="2"/>
    </row>
    <row r="57" spans="1:65" x14ac:dyDescent="0.2">
      <c r="A57">
        <f t="shared" si="5"/>
        <v>2002</v>
      </c>
      <c r="B57" s="2">
        <f t="shared" si="46"/>
        <v>42976.283303197983</v>
      </c>
      <c r="C57" s="2"/>
      <c r="D57" s="2">
        <f t="shared" si="49"/>
        <v>35354.824507000791</v>
      </c>
      <c r="E57" s="2">
        <f t="shared" si="50"/>
        <v>22075.511792056317</v>
      </c>
      <c r="F57" s="2"/>
      <c r="G57" s="2">
        <f t="shared" si="44"/>
        <v>35158.160397472668</v>
      </c>
      <c r="H57" s="2">
        <f t="shared" si="16"/>
        <v>119527.61542464262</v>
      </c>
      <c r="I57" s="2">
        <f t="shared" si="43"/>
        <v>255092.39542437036</v>
      </c>
      <c r="J57" s="2">
        <f t="shared" si="17"/>
        <v>-27627.026582777209</v>
      </c>
      <c r="K57" s="83">
        <f t="shared" si="18"/>
        <v>-9.7718884633538741E-2</v>
      </c>
      <c r="L57" s="7">
        <f t="shared" si="19"/>
        <v>0.90228111536646127</v>
      </c>
      <c r="N57">
        <f t="shared" si="20"/>
        <v>2002</v>
      </c>
      <c r="O57" s="2">
        <f t="shared" si="21"/>
        <v>6867.1096396773428</v>
      </c>
      <c r="P57" s="2"/>
      <c r="Q57" s="2"/>
      <c r="R57">
        <f t="shared" si="22"/>
        <v>2002</v>
      </c>
      <c r="S57" s="2">
        <f t="shared" si="51"/>
        <v>41602.861375262517</v>
      </c>
      <c r="T57" s="2"/>
      <c r="U57" s="2">
        <f t="shared" si="52"/>
        <v>33981.402579065325</v>
      </c>
      <c r="V57" s="2">
        <f t="shared" si="52"/>
        <v>20702.089864120848</v>
      </c>
      <c r="W57" s="2"/>
      <c r="X57" s="2">
        <f t="shared" si="53"/>
        <v>33784.738469537202</v>
      </c>
      <c r="Y57" s="2">
        <f t="shared" si="53"/>
        <v>118154.19349670714</v>
      </c>
      <c r="Z57" s="2">
        <f t="shared" si="25"/>
        <v>248225.28578469303</v>
      </c>
      <c r="AA57" s="2">
        <f t="shared" si="26"/>
        <v>-27794.517061793711</v>
      </c>
      <c r="AB57" s="83">
        <f t="shared" si="27"/>
        <v>-0.10069754697003432</v>
      </c>
      <c r="AC57" s="7">
        <f t="shared" si="28"/>
        <v>0.8993024530299657</v>
      </c>
      <c r="AD57" s="2">
        <f t="shared" si="29"/>
        <v>0</v>
      </c>
      <c r="AE57" s="2"/>
      <c r="AG57">
        <f t="shared" si="30"/>
        <v>2002</v>
      </c>
      <c r="AH57" s="6">
        <f t="shared" si="7"/>
        <v>0.16760122258998314</v>
      </c>
      <c r="AI57" s="7"/>
      <c r="AJ57" s="6">
        <f t="shared" si="47"/>
        <v>0.13689742554487497</v>
      </c>
      <c r="AK57" s="6">
        <f t="shared" si="47"/>
        <v>8.3400407008001345E-2</v>
      </c>
      <c r="AL57" s="7"/>
      <c r="AM57" s="38">
        <f t="shared" si="31"/>
        <v>0.1361051448192977</v>
      </c>
      <c r="AN57" s="38">
        <f t="shared" si="32"/>
        <v>0.47599580003784286</v>
      </c>
      <c r="AO57" s="6">
        <f t="shared" si="33"/>
        <v>1</v>
      </c>
      <c r="AP57" s="7">
        <f t="shared" si="34"/>
        <v>0.52400419996215719</v>
      </c>
      <c r="AQ57" s="7">
        <f t="shared" si="35"/>
        <v>0</v>
      </c>
      <c r="AR57" s="24"/>
      <c r="AS57">
        <f t="shared" si="36"/>
        <v>2002</v>
      </c>
      <c r="AT57" s="1" t="b">
        <f t="shared" si="37"/>
        <v>1</v>
      </c>
      <c r="AU57" s="1"/>
      <c r="AV57" s="1" t="b">
        <f t="shared" si="54"/>
        <v>1</v>
      </c>
      <c r="AW57" s="1" t="b">
        <f t="shared" si="55"/>
        <v>1</v>
      </c>
      <c r="AX57" s="1"/>
      <c r="AY57" s="1" t="b">
        <f t="shared" si="45"/>
        <v>1</v>
      </c>
      <c r="AZ57" s="1" t="b">
        <f t="shared" si="9"/>
        <v>0</v>
      </c>
      <c r="BA57" s="1" t="b">
        <f t="shared" si="39"/>
        <v>1</v>
      </c>
      <c r="BC57">
        <f t="shared" si="40"/>
        <v>2002</v>
      </c>
      <c r="BD57" s="2">
        <f t="shared" si="56"/>
        <v>49645.057156938608</v>
      </c>
      <c r="BE57" s="2"/>
      <c r="BF57" s="2">
        <f t="shared" si="48"/>
        <v>37233.792867703953</v>
      </c>
      <c r="BG57" s="2">
        <f t="shared" si="48"/>
        <v>24822.528578469304</v>
      </c>
      <c r="BH57" s="2"/>
      <c r="BI57" s="2">
        <f t="shared" si="57"/>
        <v>37233.792867703953</v>
      </c>
      <c r="BJ57" s="2">
        <f t="shared" si="12"/>
        <v>99290.114313877217</v>
      </c>
      <c r="BK57" s="2">
        <f t="shared" si="41"/>
        <v>248225.28578469303</v>
      </c>
      <c r="BL57" s="2">
        <f t="shared" si="42"/>
        <v>0</v>
      </c>
      <c r="BM57" s="2"/>
    </row>
    <row r="58" spans="1:65" x14ac:dyDescent="0.2">
      <c r="A58">
        <f t="shared" si="5"/>
        <v>2003</v>
      </c>
      <c r="B58" s="2">
        <f t="shared" si="46"/>
        <v>63793.898446666106</v>
      </c>
      <c r="C58" s="2"/>
      <c r="D58" s="2">
        <f t="shared" si="49"/>
        <v>49946.154428595437</v>
      </c>
      <c r="E58" s="2">
        <f t="shared" si="50"/>
        <v>36148.551918253281</v>
      </c>
      <c r="F58" s="2"/>
      <c r="G58" s="2">
        <f t="shared" si="44"/>
        <v>52253.904910535726</v>
      </c>
      <c r="H58" s="2">
        <f t="shared" si="16"/>
        <v>103231.93185213815</v>
      </c>
      <c r="I58" s="2">
        <f t="shared" si="43"/>
        <v>305374.44155618869</v>
      </c>
      <c r="J58" s="2">
        <f t="shared" si="17"/>
        <v>50282.046131818322</v>
      </c>
      <c r="K58" s="83">
        <f t="shared" si="18"/>
        <v>0.19711307366952033</v>
      </c>
      <c r="L58" s="7">
        <f t="shared" si="19"/>
        <v>1.1971130736695204</v>
      </c>
      <c r="N58">
        <f t="shared" si="20"/>
        <v>2003</v>
      </c>
      <c r="O58" s="2">
        <f t="shared" si="21"/>
        <v>7004.4518324708897</v>
      </c>
      <c r="P58" s="2"/>
      <c r="Q58" s="2"/>
      <c r="R58">
        <f t="shared" si="22"/>
        <v>2003</v>
      </c>
      <c r="S58" s="2">
        <f t="shared" si="51"/>
        <v>62393.00808017193</v>
      </c>
      <c r="T58" s="2"/>
      <c r="U58" s="2">
        <f t="shared" si="52"/>
        <v>48545.264062101262</v>
      </c>
      <c r="V58" s="2">
        <f t="shared" si="52"/>
        <v>34747.661551759105</v>
      </c>
      <c r="W58" s="2"/>
      <c r="X58" s="2">
        <f t="shared" si="53"/>
        <v>50853.014544041551</v>
      </c>
      <c r="Y58" s="2">
        <f t="shared" si="53"/>
        <v>101831.04148564397</v>
      </c>
      <c r="Z58" s="2">
        <f t="shared" si="25"/>
        <v>298369.98972371779</v>
      </c>
      <c r="AA58" s="2">
        <f t="shared" si="26"/>
        <v>50144.703939024766</v>
      </c>
      <c r="AB58" s="83">
        <f t="shared" si="27"/>
        <v>0.20201287624871364</v>
      </c>
      <c r="AC58" s="7">
        <f t="shared" si="28"/>
        <v>1.2020128762487137</v>
      </c>
      <c r="AD58" s="2">
        <f t="shared" si="29"/>
        <v>0</v>
      </c>
      <c r="AE58" s="2"/>
      <c r="AG58">
        <f t="shared" si="30"/>
        <v>2003</v>
      </c>
      <c r="AH58" s="6">
        <f t="shared" ref="AH58:AH71" si="58">S58/$Z58</f>
        <v>0.20911288074898585</v>
      </c>
      <c r="AI58" s="7"/>
      <c r="AJ58" s="6">
        <f t="shared" si="47"/>
        <v>0.16270156427948002</v>
      </c>
      <c r="AK58" s="6">
        <f t="shared" si="47"/>
        <v>0.11645829925434009</v>
      </c>
      <c r="AL58" s="7"/>
      <c r="AM58" s="6">
        <f t="shared" si="31"/>
        <v>0.17043609040952815</v>
      </c>
      <c r="AN58" s="38">
        <f t="shared" si="32"/>
        <v>0.34129116530766601</v>
      </c>
      <c r="AO58" s="6">
        <f t="shared" si="33"/>
        <v>1</v>
      </c>
      <c r="AP58" s="7">
        <f t="shared" si="34"/>
        <v>0.6587088346923341</v>
      </c>
      <c r="AQ58" s="7">
        <f t="shared" si="35"/>
        <v>0</v>
      </c>
      <c r="AR58" s="24"/>
      <c r="AS58">
        <f t="shared" si="36"/>
        <v>2003</v>
      </c>
      <c r="AT58" s="1" t="b">
        <f t="shared" si="37"/>
        <v>1</v>
      </c>
      <c r="AV58" s="1" t="b">
        <f t="shared" si="54"/>
        <v>1</v>
      </c>
      <c r="AW58" s="1" t="b">
        <f t="shared" si="55"/>
        <v>1</v>
      </c>
      <c r="AY58" s="1" t="b">
        <f t="shared" si="45"/>
        <v>1</v>
      </c>
      <c r="AZ58" s="1" t="b">
        <f t="shared" si="9"/>
        <v>0</v>
      </c>
      <c r="BA58" s="1" t="b">
        <f t="shared" si="39"/>
        <v>1</v>
      </c>
      <c r="BC58">
        <f t="shared" si="40"/>
        <v>2003</v>
      </c>
      <c r="BD58" s="2">
        <f t="shared" si="56"/>
        <v>59673.997944743562</v>
      </c>
      <c r="BE58" s="2"/>
      <c r="BF58" s="2">
        <f t="shared" si="48"/>
        <v>44755.498458557668</v>
      </c>
      <c r="BG58" s="2">
        <f t="shared" si="48"/>
        <v>29836.998972371781</v>
      </c>
      <c r="BH58" s="2"/>
      <c r="BI58" s="2">
        <f t="shared" si="57"/>
        <v>44755.498458557668</v>
      </c>
      <c r="BJ58" s="2">
        <f t="shared" si="12"/>
        <v>119347.99588948712</v>
      </c>
      <c r="BK58" s="2">
        <f t="shared" si="41"/>
        <v>298369.98972371779</v>
      </c>
      <c r="BL58" s="2">
        <f t="shared" si="42"/>
        <v>0</v>
      </c>
      <c r="BM58" s="2"/>
    </row>
    <row r="59" spans="1:65" x14ac:dyDescent="0.2">
      <c r="A59">
        <f t="shared" si="5"/>
        <v>2004</v>
      </c>
      <c r="B59" s="2">
        <f t="shared" si="46"/>
        <v>66082.985324009016</v>
      </c>
      <c r="C59" s="2"/>
      <c r="D59" s="2">
        <f t="shared" si="49"/>
        <v>53864.585059827907</v>
      </c>
      <c r="E59" s="2">
        <f t="shared" si="50"/>
        <v>35773.6666579046</v>
      </c>
      <c r="F59" s="2"/>
      <c r="G59" s="2">
        <f t="shared" si="44"/>
        <v>54081.20167236733</v>
      </c>
      <c r="H59" s="2">
        <f t="shared" si="16"/>
        <v>124408.35091520137</v>
      </c>
      <c r="I59" s="2">
        <f t="shared" si="43"/>
        <v>334210.78962931019</v>
      </c>
      <c r="J59" s="2">
        <f>I59-I58</f>
        <v>28836.34807312151</v>
      </c>
      <c r="K59" s="83">
        <f>(J59/I58)</f>
        <v>9.4429474602299487E-2</v>
      </c>
      <c r="L59" s="7">
        <f t="shared" si="19"/>
        <v>1.0944294746022996</v>
      </c>
      <c r="N59">
        <f t="shared" si="20"/>
        <v>2004</v>
      </c>
      <c r="O59" s="2">
        <f t="shared" si="21"/>
        <v>7235.5987429424285</v>
      </c>
      <c r="P59" s="2"/>
      <c r="Q59" s="2"/>
      <c r="R59">
        <f t="shared" si="22"/>
        <v>2004</v>
      </c>
      <c r="S59" s="2">
        <f t="shared" si="51"/>
        <v>64635.865575420532</v>
      </c>
      <c r="T59" s="2"/>
      <c r="U59" s="2">
        <f t="shared" si="52"/>
        <v>52417.465311239423</v>
      </c>
      <c r="V59" s="2">
        <f t="shared" si="52"/>
        <v>34326.546909316115</v>
      </c>
      <c r="W59" s="2"/>
      <c r="X59" s="2">
        <f t="shared" si="53"/>
        <v>52634.081923778846</v>
      </c>
      <c r="Y59" s="2">
        <f t="shared" si="53"/>
        <v>122961.23116661288</v>
      </c>
      <c r="Z59" s="2">
        <f t="shared" si="25"/>
        <v>326975.19088636781</v>
      </c>
      <c r="AA59" s="2">
        <f>Z59-Z58</f>
        <v>28605.201162650017</v>
      </c>
      <c r="AB59" s="83">
        <f>(AA59/Z58)</f>
        <v>9.587157605608268E-2</v>
      </c>
      <c r="AC59" s="7">
        <f t="shared" si="28"/>
        <v>1.0958715760560827</v>
      </c>
      <c r="AD59" s="2">
        <f t="shared" si="29"/>
        <v>0</v>
      </c>
      <c r="AE59" s="2"/>
      <c r="AG59">
        <f t="shared" si="30"/>
        <v>2004</v>
      </c>
      <c r="AH59" s="6">
        <f t="shared" si="58"/>
        <v>0.19767819509549009</v>
      </c>
      <c r="AI59" s="7"/>
      <c r="AJ59" s="6">
        <f t="shared" si="47"/>
        <v>0.16031022160777889</v>
      </c>
      <c r="AK59" s="6">
        <f t="shared" si="47"/>
        <v>0.1049821144419653</v>
      </c>
      <c r="AL59" s="7"/>
      <c r="AM59" s="6">
        <f t="shared" si="31"/>
        <v>0.16097270799383226</v>
      </c>
      <c r="AN59" s="6">
        <f t="shared" si="32"/>
        <v>0.37605676086093343</v>
      </c>
      <c r="AO59" s="6">
        <f t="shared" si="33"/>
        <v>1</v>
      </c>
      <c r="AP59" s="7">
        <f t="shared" si="34"/>
        <v>0.62394323913906657</v>
      </c>
      <c r="AQ59" s="7">
        <f t="shared" si="35"/>
        <v>0</v>
      </c>
      <c r="AR59" s="24"/>
      <c r="AS59">
        <f t="shared" si="36"/>
        <v>2004</v>
      </c>
      <c r="AT59" s="1" t="b">
        <f t="shared" si="37"/>
        <v>1</v>
      </c>
      <c r="AV59" s="1" t="b">
        <f t="shared" si="54"/>
        <v>1</v>
      </c>
      <c r="AW59" s="1" t="b">
        <f t="shared" si="55"/>
        <v>1</v>
      </c>
      <c r="AY59" s="1" t="b">
        <f t="shared" si="45"/>
        <v>1</v>
      </c>
      <c r="AZ59" s="1" t="b">
        <f t="shared" si="9"/>
        <v>1</v>
      </c>
      <c r="BA59" s="1" t="b">
        <f t="shared" si="39"/>
        <v>1</v>
      </c>
      <c r="BC59">
        <f t="shared" si="40"/>
        <v>2004</v>
      </c>
      <c r="BD59" s="2">
        <f t="shared" si="56"/>
        <v>65395.038177273564</v>
      </c>
      <c r="BE59" s="2"/>
      <c r="BF59" s="2">
        <f t="shared" si="48"/>
        <v>49046.278632955167</v>
      </c>
      <c r="BG59" s="2">
        <f t="shared" si="48"/>
        <v>32697.519088636782</v>
      </c>
      <c r="BH59" s="2"/>
      <c r="BI59" s="2">
        <f t="shared" si="57"/>
        <v>49046.278632955167</v>
      </c>
      <c r="BJ59" s="2">
        <f t="shared" si="12"/>
        <v>130790.07635454713</v>
      </c>
      <c r="BK59" s="2">
        <f t="shared" si="41"/>
        <v>326975.19088636781</v>
      </c>
      <c r="BL59" s="2">
        <f t="shared" si="42"/>
        <v>0</v>
      </c>
      <c r="BM59" s="2"/>
    </row>
    <row r="60" spans="1:65" x14ac:dyDescent="0.2">
      <c r="A60">
        <f t="shared" si="5"/>
        <v>2005</v>
      </c>
      <c r="B60" s="2">
        <f t="shared" si="46"/>
        <v>68514.381498329516</v>
      </c>
      <c r="C60" s="2"/>
      <c r="D60" s="2">
        <f t="shared" si="49"/>
        <v>55878.915709312154</v>
      </c>
      <c r="E60" s="2">
        <f t="shared" si="50"/>
        <v>35105.037419133114</v>
      </c>
      <c r="F60" s="2"/>
      <c r="G60" s="2">
        <f t="shared" si="44"/>
        <v>56683.274678892616</v>
      </c>
      <c r="H60" s="2">
        <f t="shared" si="16"/>
        <v>133929.03818705626</v>
      </c>
      <c r="I60" s="2">
        <f t="shared" si="43"/>
        <v>350110.64749272366</v>
      </c>
      <c r="J60" s="2">
        <f t="shared" si="17"/>
        <v>15899.857863413461</v>
      </c>
      <c r="K60" s="83">
        <f t="shared" si="18"/>
        <v>4.7574340376768755E-2</v>
      </c>
      <c r="L60" s="7">
        <f t="shared" si="19"/>
        <v>1.0475743403767688</v>
      </c>
      <c r="N60">
        <f t="shared" si="20"/>
        <v>2005</v>
      </c>
      <c r="O60" s="2">
        <f t="shared" si="21"/>
        <v>7474.3735014595277</v>
      </c>
      <c r="P60" s="2"/>
      <c r="Q60" s="2"/>
      <c r="R60">
        <f t="shared" si="22"/>
        <v>2005</v>
      </c>
      <c r="S60" s="2">
        <f t="shared" si="51"/>
        <v>67019.506798037604</v>
      </c>
      <c r="T60" s="2"/>
      <c r="U60" s="2">
        <f t="shared" si="52"/>
        <v>54384.041009020249</v>
      </c>
      <c r="V60" s="2">
        <f t="shared" si="52"/>
        <v>33610.162718841209</v>
      </c>
      <c r="W60" s="2"/>
      <c r="X60" s="2">
        <f t="shared" si="53"/>
        <v>55188.399978600712</v>
      </c>
      <c r="Y60" s="2">
        <f t="shared" si="53"/>
        <v>132434.16348676436</v>
      </c>
      <c r="Z60" s="2">
        <f t="shared" si="25"/>
        <v>342636.27399126417</v>
      </c>
      <c r="AA60" s="2">
        <f t="shared" ref="AA60:AA71" si="59">Z60-Z59</f>
        <v>15661.083104896359</v>
      </c>
      <c r="AB60" s="83">
        <f t="shared" ref="AB60:AB71" si="60">(AA60/Z59)</f>
        <v>4.7896854383484351E-2</v>
      </c>
      <c r="AC60" s="7">
        <f t="shared" si="28"/>
        <v>1.0478968543834843</v>
      </c>
      <c r="AD60" s="2">
        <f t="shared" si="29"/>
        <v>0</v>
      </c>
      <c r="AE60" s="2"/>
      <c r="AG60">
        <f t="shared" si="30"/>
        <v>2005</v>
      </c>
      <c r="AH60" s="6">
        <f t="shared" si="58"/>
        <v>0.19559956690325883</v>
      </c>
      <c r="AI60" s="7"/>
      <c r="AJ60" s="6">
        <f t="shared" si="47"/>
        <v>0.15872236869586909</v>
      </c>
      <c r="AK60" s="6">
        <f t="shared" si="47"/>
        <v>9.8092832750388048E-2</v>
      </c>
      <c r="AL60" s="7"/>
      <c r="AM60" s="6">
        <f t="shared" ref="AM60:AM71" si="61">X60/$Z60</f>
        <v>0.16106992799019229</v>
      </c>
      <c r="AN60" s="6">
        <f t="shared" si="32"/>
        <v>0.38651530366029163</v>
      </c>
      <c r="AO60" s="6">
        <f t="shared" si="33"/>
        <v>0.99999999999999989</v>
      </c>
      <c r="AP60" s="7">
        <f t="shared" si="34"/>
        <v>0.61348469633970826</v>
      </c>
      <c r="AQ60" s="7">
        <f t="shared" si="35"/>
        <v>0</v>
      </c>
      <c r="AR60" s="24"/>
      <c r="AS60">
        <f t="shared" si="36"/>
        <v>2005</v>
      </c>
      <c r="AT60" s="1" t="b">
        <f t="shared" si="37"/>
        <v>1</v>
      </c>
      <c r="AV60" s="1" t="b">
        <f t="shared" si="54"/>
        <v>1</v>
      </c>
      <c r="AW60" s="1" t="b">
        <f t="shared" si="55"/>
        <v>1</v>
      </c>
      <c r="AY60" s="1" t="b">
        <f t="shared" si="45"/>
        <v>1</v>
      </c>
      <c r="AZ60" s="1" t="b">
        <f t="shared" si="9"/>
        <v>1</v>
      </c>
      <c r="BA60" s="1" t="b">
        <f t="shared" si="39"/>
        <v>1</v>
      </c>
      <c r="BC60">
        <f t="shared" si="40"/>
        <v>2005</v>
      </c>
      <c r="BD60" s="2">
        <f t="shared" si="56"/>
        <v>68527.254798252834</v>
      </c>
      <c r="BE60" s="2"/>
      <c r="BF60" s="2">
        <f t="shared" si="48"/>
        <v>51395.441098689626</v>
      </c>
      <c r="BG60" s="2">
        <f t="shared" si="48"/>
        <v>34263.627399126417</v>
      </c>
      <c r="BH60" s="2"/>
      <c r="BI60" s="2">
        <f t="shared" si="57"/>
        <v>51395.441098689626</v>
      </c>
      <c r="BJ60" s="2">
        <f t="shared" si="12"/>
        <v>137054.50959650567</v>
      </c>
      <c r="BK60" s="2">
        <f t="shared" si="41"/>
        <v>342636.27399126417</v>
      </c>
      <c r="BL60" s="2">
        <f t="shared" si="42"/>
        <v>0</v>
      </c>
      <c r="BM60" s="2"/>
    </row>
    <row r="61" spans="1:65" x14ac:dyDescent="0.2">
      <c r="A61">
        <f t="shared" si="5"/>
        <v>2006</v>
      </c>
      <c r="B61" s="2">
        <f t="shared" si="46"/>
        <v>79244.917448699591</v>
      </c>
      <c r="C61" s="2"/>
      <c r="D61" s="2">
        <f t="shared" si="49"/>
        <v>58383.679224878448</v>
      </c>
      <c r="E61" s="2">
        <f t="shared" si="50"/>
        <v>39627.940904733652</v>
      </c>
      <c r="F61" s="2"/>
      <c r="G61" s="2">
        <f t="shared" si="44"/>
        <v>65085.644744147583</v>
      </c>
      <c r="H61" s="2">
        <f t="shared" si="16"/>
        <v>142906.73715627645</v>
      </c>
      <c r="I61" s="2">
        <f t="shared" si="43"/>
        <v>385248.91947873571</v>
      </c>
      <c r="J61" s="2">
        <f t="shared" si="17"/>
        <v>35138.271986012056</v>
      </c>
      <c r="K61" s="83">
        <f t="shared" si="18"/>
        <v>0.10036333438485996</v>
      </c>
      <c r="L61" s="7">
        <f t="shared" si="19"/>
        <v>1.10036333438486</v>
      </c>
      <c r="N61">
        <f t="shared" si="20"/>
        <v>2006</v>
      </c>
      <c r="O61" s="2">
        <f t="shared" si="21"/>
        <v>7661.2328389960148</v>
      </c>
      <c r="P61" s="2"/>
      <c r="Q61" s="2"/>
      <c r="R61">
        <f t="shared" si="22"/>
        <v>2006</v>
      </c>
      <c r="S61" s="2">
        <f t="shared" si="51"/>
        <v>77712.67088090039</v>
      </c>
      <c r="T61" s="2"/>
      <c r="U61" s="2">
        <f t="shared" si="52"/>
        <v>56851.432657079247</v>
      </c>
      <c r="V61" s="2">
        <f t="shared" si="52"/>
        <v>38095.694336934452</v>
      </c>
      <c r="W61" s="2"/>
      <c r="X61" s="2">
        <f t="shared" si="53"/>
        <v>63553.398176348383</v>
      </c>
      <c r="Y61" s="2">
        <f t="shared" si="53"/>
        <v>141374.49058847723</v>
      </c>
      <c r="Z61" s="2">
        <f t="shared" si="25"/>
        <v>377587.68663973972</v>
      </c>
      <c r="AA61" s="2">
        <f t="shared" si="59"/>
        <v>34951.412648475554</v>
      </c>
      <c r="AB61" s="83">
        <f t="shared" si="60"/>
        <v>0.10200733343652538</v>
      </c>
      <c r="AC61" s="7">
        <f t="shared" si="28"/>
        <v>1.1020073334365255</v>
      </c>
      <c r="AD61" s="2">
        <f t="shared" si="29"/>
        <v>0</v>
      </c>
      <c r="AE61" s="2"/>
      <c r="AG61">
        <f t="shared" si="30"/>
        <v>2006</v>
      </c>
      <c r="AH61" s="6">
        <f t="shared" si="58"/>
        <v>0.20581357292788746</v>
      </c>
      <c r="AI61" s="7"/>
      <c r="AJ61" s="6">
        <f t="shared" si="47"/>
        <v>0.15056484803044382</v>
      </c>
      <c r="AK61" s="6">
        <f t="shared" si="47"/>
        <v>0.10089231107073135</v>
      </c>
      <c r="AL61" s="7"/>
      <c r="AM61" s="38">
        <f t="shared" si="61"/>
        <v>0.16831427619350661</v>
      </c>
      <c r="AN61" s="38">
        <f t="shared" si="32"/>
        <v>0.37441499177743071</v>
      </c>
      <c r="AO61" s="6">
        <f t="shared" si="33"/>
        <v>1</v>
      </c>
      <c r="AP61" s="7">
        <f t="shared" si="34"/>
        <v>0.62558500822256924</v>
      </c>
      <c r="AQ61" s="7">
        <f t="shared" si="35"/>
        <v>0</v>
      </c>
      <c r="AR61" s="24"/>
      <c r="AS61">
        <f t="shared" si="36"/>
        <v>2006</v>
      </c>
      <c r="AT61" s="1" t="b">
        <f t="shared" si="37"/>
        <v>1</v>
      </c>
      <c r="AV61" s="1" t="b">
        <f t="shared" si="54"/>
        <v>1</v>
      </c>
      <c r="AW61" s="1" t="b">
        <f t="shared" si="55"/>
        <v>1</v>
      </c>
      <c r="AY61" s="1" t="b">
        <f t="shared" si="45"/>
        <v>1</v>
      </c>
      <c r="AZ61" s="1" t="b">
        <f t="shared" si="9"/>
        <v>1</v>
      </c>
      <c r="BA61" s="1" t="b">
        <f t="shared" si="39"/>
        <v>1</v>
      </c>
      <c r="BC61">
        <f t="shared" si="40"/>
        <v>2006</v>
      </c>
      <c r="BD61" s="2">
        <f t="shared" si="56"/>
        <v>75517.537327947954</v>
      </c>
      <c r="BE61" s="2"/>
      <c r="BF61" s="2">
        <f t="shared" si="48"/>
        <v>56638.152995960954</v>
      </c>
      <c r="BG61" s="2">
        <f t="shared" si="48"/>
        <v>37758.768663973977</v>
      </c>
      <c r="BH61" s="2"/>
      <c r="BI61" s="2">
        <f t="shared" si="57"/>
        <v>56638.152995960954</v>
      </c>
      <c r="BJ61" s="2">
        <f t="shared" si="12"/>
        <v>151035.07465589591</v>
      </c>
      <c r="BK61" s="2">
        <f t="shared" si="41"/>
        <v>377587.68663973972</v>
      </c>
      <c r="BL61" s="2">
        <f t="shared" si="42"/>
        <v>0</v>
      </c>
      <c r="BM61" s="2"/>
    </row>
    <row r="62" spans="1:65" x14ac:dyDescent="0.2">
      <c r="A62">
        <f t="shared" si="5"/>
        <v>2007</v>
      </c>
      <c r="B62" s="2">
        <f t="shared" si="46"/>
        <v>79587.932589924356</v>
      </c>
      <c r="C62" s="2"/>
      <c r="D62" s="2">
        <f t="shared" si="49"/>
        <v>60048.336187847766</v>
      </c>
      <c r="E62" s="2">
        <f t="shared" si="50"/>
        <v>38195.260029729514</v>
      </c>
      <c r="F62" s="2"/>
      <c r="G62" s="2">
        <f t="shared" si="44"/>
        <v>65429.527103994005</v>
      </c>
      <c r="H62" s="2">
        <f t="shared" si="16"/>
        <v>161486.70182208388</v>
      </c>
      <c r="I62" s="2">
        <f t="shared" si="43"/>
        <v>404747.75773357949</v>
      </c>
      <c r="J62" s="2">
        <f t="shared" si="17"/>
        <v>19498.83825484378</v>
      </c>
      <c r="K62" s="83">
        <f t="shared" si="18"/>
        <v>5.0613609199026043E-2</v>
      </c>
      <c r="L62" s="7">
        <f t="shared" si="19"/>
        <v>1.0506136091990261</v>
      </c>
      <c r="N62">
        <f t="shared" si="20"/>
        <v>2007</v>
      </c>
      <c r="O62" s="2">
        <f t="shared" si="21"/>
        <v>7975.3433853948509</v>
      </c>
      <c r="P62" s="2"/>
      <c r="Q62" s="2"/>
      <c r="R62">
        <f t="shared" si="22"/>
        <v>2007</v>
      </c>
      <c r="S62" s="2">
        <f t="shared" si="51"/>
        <v>77992.86391284538</v>
      </c>
      <c r="T62" s="2"/>
      <c r="U62" s="2">
        <f t="shared" si="52"/>
        <v>58453.267510768797</v>
      </c>
      <c r="V62" s="2">
        <f t="shared" si="52"/>
        <v>36600.191352650545</v>
      </c>
      <c r="W62" s="2"/>
      <c r="X62" s="2">
        <f t="shared" si="53"/>
        <v>63834.458426915036</v>
      </c>
      <c r="Y62" s="2">
        <f t="shared" si="53"/>
        <v>159891.63314500492</v>
      </c>
      <c r="Z62" s="2">
        <f t="shared" si="25"/>
        <v>396772.41434818465</v>
      </c>
      <c r="AA62" s="2">
        <f t="shared" si="59"/>
        <v>19184.727708444931</v>
      </c>
      <c r="AB62" s="83">
        <f t="shared" si="60"/>
        <v>5.0808668786779788E-2</v>
      </c>
      <c r="AC62" s="7">
        <f t="shared" si="28"/>
        <v>1.0508086687867797</v>
      </c>
      <c r="AD62" s="2">
        <f t="shared" si="29"/>
        <v>0</v>
      </c>
      <c r="AE62" s="2"/>
      <c r="AG62">
        <f t="shared" si="30"/>
        <v>2007</v>
      </c>
      <c r="AH62" s="6">
        <f t="shared" si="58"/>
        <v>0.19656826203749972</v>
      </c>
      <c r="AI62" s="7"/>
      <c r="AJ62" s="6">
        <f t="shared" si="47"/>
        <v>0.147321903935271</v>
      </c>
      <c r="AK62" s="6">
        <f t="shared" si="47"/>
        <v>9.2244798350654286E-2</v>
      </c>
      <c r="AL62" s="7"/>
      <c r="AM62" s="6">
        <f t="shared" si="61"/>
        <v>0.16088431584081242</v>
      </c>
      <c r="AN62" s="6">
        <f t="shared" si="32"/>
        <v>0.40298071983576261</v>
      </c>
      <c r="AO62" s="6">
        <f t="shared" si="33"/>
        <v>1</v>
      </c>
      <c r="AP62" s="7">
        <f t="shared" si="34"/>
        <v>0.59701928016423744</v>
      </c>
      <c r="AQ62" s="7">
        <f t="shared" si="35"/>
        <v>0</v>
      </c>
      <c r="AR62" s="24"/>
      <c r="AS62">
        <f t="shared" si="36"/>
        <v>2007</v>
      </c>
      <c r="AT62" s="1" t="b">
        <f t="shared" si="37"/>
        <v>1</v>
      </c>
      <c r="AV62" s="1" t="b">
        <f t="shared" si="54"/>
        <v>1</v>
      </c>
      <c r="AW62" s="1" t="b">
        <f t="shared" si="55"/>
        <v>1</v>
      </c>
      <c r="AY62" s="1" t="b">
        <f t="shared" si="45"/>
        <v>1</v>
      </c>
      <c r="AZ62" s="1" t="b">
        <f t="shared" si="9"/>
        <v>1</v>
      </c>
      <c r="BA62" s="1" t="b">
        <f t="shared" si="39"/>
        <v>1</v>
      </c>
      <c r="BC62">
        <f t="shared" si="40"/>
        <v>2007</v>
      </c>
      <c r="BD62" s="2">
        <f t="shared" si="56"/>
        <v>79354.482869636937</v>
      </c>
      <c r="BE62" s="2"/>
      <c r="BF62" s="2">
        <f t="shared" si="48"/>
        <v>59515.862152227695</v>
      </c>
      <c r="BG62" s="2">
        <f t="shared" si="48"/>
        <v>39677.241434818468</v>
      </c>
      <c r="BH62" s="2"/>
      <c r="BI62" s="2">
        <f t="shared" si="57"/>
        <v>59515.862152227695</v>
      </c>
      <c r="BJ62" s="2">
        <f t="shared" si="12"/>
        <v>158708.96573927387</v>
      </c>
      <c r="BK62" s="2">
        <f t="shared" si="41"/>
        <v>396772.41434818465</v>
      </c>
      <c r="BL62" s="2">
        <f t="shared" si="42"/>
        <v>0</v>
      </c>
      <c r="BM62" s="2"/>
    </row>
    <row r="63" spans="1:65" x14ac:dyDescent="0.2">
      <c r="A63">
        <f t="shared" si="5"/>
        <v>2008</v>
      </c>
      <c r="B63" s="2">
        <f t="shared" si="46"/>
        <v>49977.453311297337</v>
      </c>
      <c r="C63" s="2"/>
      <c r="D63" s="2">
        <f t="shared" si="49"/>
        <v>34623.947965679989</v>
      </c>
      <c r="E63" s="2">
        <f t="shared" si="50"/>
        <v>25365.660449279447</v>
      </c>
      <c r="F63" s="2"/>
      <c r="G63" s="2">
        <f t="shared" si="44"/>
        <v>33268.771784473756</v>
      </c>
      <c r="H63" s="2">
        <f t="shared" si="16"/>
        <v>166723.76850910721</v>
      </c>
      <c r="I63" s="2">
        <f t="shared" si="43"/>
        <v>309959.60201983771</v>
      </c>
      <c r="J63" s="2">
        <f t="shared" si="17"/>
        <v>-94788.155713741784</v>
      </c>
      <c r="K63" s="83">
        <f t="shared" si="18"/>
        <v>-0.23419068766314199</v>
      </c>
      <c r="L63" s="7">
        <f t="shared" si="19"/>
        <v>0.76580931233685801</v>
      </c>
      <c r="N63">
        <f t="shared" si="20"/>
        <v>2008</v>
      </c>
      <c r="O63" s="2">
        <f t="shared" si="21"/>
        <v>7975.3433853948509</v>
      </c>
      <c r="P63" s="2"/>
      <c r="Q63" s="2"/>
      <c r="R63">
        <f t="shared" si="22"/>
        <v>2008</v>
      </c>
      <c r="S63" s="2">
        <f t="shared" si="51"/>
        <v>48382.384634218368</v>
      </c>
      <c r="T63" s="2"/>
      <c r="U63" s="2">
        <f t="shared" si="52"/>
        <v>33028.87928860102</v>
      </c>
      <c r="V63" s="2">
        <f t="shared" si="52"/>
        <v>23770.591772200478</v>
      </c>
      <c r="W63" s="2"/>
      <c r="X63" s="2">
        <f t="shared" si="53"/>
        <v>31673.703107394787</v>
      </c>
      <c r="Y63" s="2">
        <f t="shared" si="53"/>
        <v>165128.69983202824</v>
      </c>
      <c r="Z63" s="2">
        <f t="shared" si="25"/>
        <v>301984.25863444293</v>
      </c>
      <c r="AA63" s="2">
        <f t="shared" si="59"/>
        <v>-94788.155713741726</v>
      </c>
      <c r="AB63" s="83">
        <f t="shared" si="60"/>
        <v>-0.23889804907294057</v>
      </c>
      <c r="AC63" s="7">
        <f t="shared" si="28"/>
        <v>0.76110195092705946</v>
      </c>
      <c r="AD63" s="2">
        <f t="shared" si="29"/>
        <v>0</v>
      </c>
      <c r="AE63" s="2"/>
      <c r="AG63">
        <f t="shared" si="30"/>
        <v>2008</v>
      </c>
      <c r="AH63" s="6">
        <f t="shared" si="58"/>
        <v>0.16021492263537507</v>
      </c>
      <c r="AI63" s="7"/>
      <c r="AJ63" s="6">
        <f t="shared" si="47"/>
        <v>0.10937285088287678</v>
      </c>
      <c r="AK63" s="6">
        <f t="shared" si="47"/>
        <v>7.8714671684179352E-2</v>
      </c>
      <c r="AL63" s="7"/>
      <c r="AM63" s="6">
        <f t="shared" si="61"/>
        <v>0.10488527862552048</v>
      </c>
      <c r="AN63" s="38">
        <f t="shared" si="32"/>
        <v>0.5468122761720482</v>
      </c>
      <c r="AO63" s="6">
        <f t="shared" si="33"/>
        <v>0.99999999999999989</v>
      </c>
      <c r="AP63" s="7">
        <f t="shared" si="34"/>
        <v>0.45318772382795169</v>
      </c>
      <c r="AQ63" s="7">
        <f t="shared" si="35"/>
        <v>0</v>
      </c>
      <c r="AR63" s="24"/>
      <c r="AS63">
        <f t="shared" si="36"/>
        <v>2008</v>
      </c>
      <c r="AT63" s="1" t="b">
        <f t="shared" si="37"/>
        <v>1</v>
      </c>
      <c r="AV63" s="1" t="b">
        <f t="shared" si="54"/>
        <v>1</v>
      </c>
      <c r="AW63" s="1" t="b">
        <f t="shared" si="55"/>
        <v>1</v>
      </c>
      <c r="AY63" s="1" t="b">
        <f t="shared" si="45"/>
        <v>1</v>
      </c>
      <c r="AZ63" s="1" t="b">
        <f t="shared" si="9"/>
        <v>0</v>
      </c>
      <c r="BA63" s="1" t="b">
        <f t="shared" si="39"/>
        <v>1</v>
      </c>
      <c r="BC63">
        <f t="shared" si="40"/>
        <v>2008</v>
      </c>
      <c r="BD63" s="2">
        <f t="shared" si="56"/>
        <v>60396.851726888592</v>
      </c>
      <c r="BE63" s="2"/>
      <c r="BF63" s="2">
        <f t="shared" si="48"/>
        <v>45297.638795166436</v>
      </c>
      <c r="BG63" s="2">
        <f t="shared" si="48"/>
        <v>30198.425863444296</v>
      </c>
      <c r="BH63" s="2"/>
      <c r="BI63" s="2">
        <f t="shared" si="57"/>
        <v>45297.638795166436</v>
      </c>
      <c r="BJ63" s="2">
        <f t="shared" si="12"/>
        <v>120793.70345377718</v>
      </c>
      <c r="BK63" s="2">
        <f t="shared" si="41"/>
        <v>301984.25863444293</v>
      </c>
      <c r="BL63" s="2">
        <f t="shared" si="42"/>
        <v>0</v>
      </c>
      <c r="BM63" s="2"/>
    </row>
    <row r="64" spans="1:65" x14ac:dyDescent="0.2">
      <c r="A64">
        <f t="shared" si="5"/>
        <v>2009</v>
      </c>
      <c r="B64" s="2">
        <f t="shared" si="46"/>
        <v>76395.977749341371</v>
      </c>
      <c r="C64" s="2"/>
      <c r="D64" s="2">
        <f t="shared" si="49"/>
        <v>63515.443165806471</v>
      </c>
      <c r="E64" s="2">
        <f t="shared" si="50"/>
        <v>41105.493316803106</v>
      </c>
      <c r="F64" s="2"/>
      <c r="G64" s="2">
        <f t="shared" si="44"/>
        <v>61934.102595467215</v>
      </c>
      <c r="H64" s="2">
        <f t="shared" si="16"/>
        <v>127956.77006858616</v>
      </c>
      <c r="I64" s="2">
        <f t="shared" si="43"/>
        <v>370907.78689600434</v>
      </c>
      <c r="J64" s="2">
        <f t="shared" si="17"/>
        <v>60948.184876166633</v>
      </c>
      <c r="K64" s="83">
        <f t="shared" si="18"/>
        <v>0.19663267238375759</v>
      </c>
      <c r="L64" s="7">
        <f t="shared" si="19"/>
        <v>1.1966326723837577</v>
      </c>
      <c r="N64">
        <f t="shared" si="20"/>
        <v>2009</v>
      </c>
      <c r="O64" s="2">
        <f t="shared" si="21"/>
        <v>8198.6530001859064</v>
      </c>
      <c r="P64" s="2"/>
      <c r="Q64" s="2"/>
      <c r="R64">
        <f t="shared" si="22"/>
        <v>2009</v>
      </c>
      <c r="S64" s="2">
        <f t="shared" si="51"/>
        <v>74756.247149304196</v>
      </c>
      <c r="T64" s="2"/>
      <c r="U64" s="2">
        <f t="shared" si="52"/>
        <v>61875.712565769289</v>
      </c>
      <c r="V64" s="2">
        <f t="shared" si="52"/>
        <v>39465.762716765923</v>
      </c>
      <c r="W64" s="2"/>
      <c r="X64" s="2">
        <f t="shared" si="53"/>
        <v>60294.371995430032</v>
      </c>
      <c r="Y64" s="2">
        <f t="shared" si="53"/>
        <v>126317.03946854899</v>
      </c>
      <c r="Z64" s="2">
        <f t="shared" si="25"/>
        <v>362709.13389581844</v>
      </c>
      <c r="AA64" s="2">
        <f t="shared" si="59"/>
        <v>60724.875261375506</v>
      </c>
      <c r="AB64" s="83">
        <f t="shared" si="60"/>
        <v>0.2010862272622097</v>
      </c>
      <c r="AC64" s="7">
        <f t="shared" si="28"/>
        <v>1.2010862272622096</v>
      </c>
      <c r="AD64" s="2">
        <f t="shared" si="29"/>
        <v>0</v>
      </c>
      <c r="AE64" s="2"/>
      <c r="AG64">
        <f t="shared" si="30"/>
        <v>2009</v>
      </c>
      <c r="AH64" s="6">
        <f t="shared" si="58"/>
        <v>0.20610522361638833</v>
      </c>
      <c r="AI64" s="7"/>
      <c r="AJ64" s="6">
        <f t="shared" si="47"/>
        <v>0.17059320205468539</v>
      </c>
      <c r="AK64" s="6">
        <f t="shared" si="47"/>
        <v>0.1088082957626916</v>
      </c>
      <c r="AL64" s="7"/>
      <c r="AM64" s="6">
        <f t="shared" si="61"/>
        <v>0.1662333985025822</v>
      </c>
      <c r="AN64" s="6">
        <f t="shared" si="32"/>
        <v>0.34825988006365244</v>
      </c>
      <c r="AO64" s="6">
        <f t="shared" si="33"/>
        <v>1</v>
      </c>
      <c r="AP64" s="7">
        <f t="shared" si="34"/>
        <v>0.65174011993634751</v>
      </c>
      <c r="AQ64" s="7">
        <f t="shared" si="35"/>
        <v>0</v>
      </c>
      <c r="AR64" s="24"/>
      <c r="AS64">
        <f t="shared" si="36"/>
        <v>2009</v>
      </c>
      <c r="AT64" s="1" t="b">
        <f t="shared" si="37"/>
        <v>1</v>
      </c>
      <c r="AV64" s="1" t="b">
        <f t="shared" si="54"/>
        <v>1</v>
      </c>
      <c r="AW64" s="1" t="b">
        <f t="shared" si="55"/>
        <v>1</v>
      </c>
      <c r="AY64" s="1" t="b">
        <f t="shared" si="45"/>
        <v>1</v>
      </c>
      <c r="AZ64" s="1" t="b">
        <f t="shared" si="9"/>
        <v>0</v>
      </c>
      <c r="BA64" s="1" t="b">
        <f t="shared" si="39"/>
        <v>1</v>
      </c>
      <c r="BC64">
        <f t="shared" si="40"/>
        <v>2009</v>
      </c>
      <c r="BD64" s="2">
        <f t="shared" si="56"/>
        <v>72541.82677916369</v>
      </c>
      <c r="BE64" s="2"/>
      <c r="BF64" s="2">
        <f t="shared" si="48"/>
        <v>54406.370084372764</v>
      </c>
      <c r="BG64" s="2">
        <f t="shared" si="48"/>
        <v>36270.913389581845</v>
      </c>
      <c r="BH64" s="2"/>
      <c r="BI64" s="2">
        <f t="shared" si="57"/>
        <v>54406.370084372764</v>
      </c>
      <c r="BJ64" s="2">
        <f t="shared" si="12"/>
        <v>145083.65355832738</v>
      </c>
      <c r="BK64" s="2">
        <f t="shared" si="41"/>
        <v>362709.13389581844</v>
      </c>
      <c r="BL64" s="2">
        <f t="shared" si="42"/>
        <v>0</v>
      </c>
      <c r="BM64" s="2"/>
    </row>
    <row r="65" spans="1:65" x14ac:dyDescent="0.2">
      <c r="A65">
        <f t="shared" si="5"/>
        <v>2010</v>
      </c>
      <c r="B65" s="2">
        <f t="shared" si="46"/>
        <v>83357.813151936993</v>
      </c>
      <c r="C65" s="2"/>
      <c r="D65" s="2">
        <f t="shared" si="49"/>
        <v>68258.23190785406</v>
      </c>
      <c r="E65" s="2">
        <f t="shared" si="50"/>
        <v>46325.210581173938</v>
      </c>
      <c r="F65" s="2"/>
      <c r="G65" s="2">
        <f t="shared" si="44"/>
        <v>60456.358437755014</v>
      </c>
      <c r="H65" s="2">
        <f t="shared" si="16"/>
        <v>154398.02411677199</v>
      </c>
      <c r="I65" s="2">
        <f t="shared" si="43"/>
        <v>412795.63819549204</v>
      </c>
      <c r="J65" s="2">
        <f t="shared" si="17"/>
        <v>41887.851299487695</v>
      </c>
      <c r="K65" s="83">
        <f t="shared" si="18"/>
        <v>0.11293332946723028</v>
      </c>
      <c r="L65" s="7">
        <f t="shared" si="19"/>
        <v>1.1129333294672303</v>
      </c>
      <c r="N65">
        <f t="shared" si="20"/>
        <v>2010</v>
      </c>
      <c r="O65" s="2">
        <f t="shared" si="21"/>
        <v>8313.4341421885092</v>
      </c>
      <c r="P65" s="2"/>
      <c r="Q65" s="2"/>
      <c r="R65">
        <f t="shared" si="22"/>
        <v>2010</v>
      </c>
      <c r="S65" s="2">
        <f t="shared" si="51"/>
        <v>81695.126323499295</v>
      </c>
      <c r="T65" s="2"/>
      <c r="U65" s="2">
        <f t="shared" si="52"/>
        <v>66595.545079416363</v>
      </c>
      <c r="V65" s="2">
        <f t="shared" si="52"/>
        <v>44662.523752736233</v>
      </c>
      <c r="W65" s="2"/>
      <c r="X65" s="2">
        <f t="shared" si="53"/>
        <v>58793.671609317309</v>
      </c>
      <c r="Y65" s="2">
        <f t="shared" si="53"/>
        <v>152735.3372883343</v>
      </c>
      <c r="Z65" s="2">
        <f t="shared" si="25"/>
        <v>404482.20405330346</v>
      </c>
      <c r="AA65" s="2">
        <f t="shared" si="59"/>
        <v>41773.070157485025</v>
      </c>
      <c r="AB65" s="83">
        <f t="shared" si="60"/>
        <v>0.11516961182864387</v>
      </c>
      <c r="AC65" s="7">
        <f t="shared" si="28"/>
        <v>1.1151696118286438</v>
      </c>
      <c r="AD65" s="2">
        <f t="shared" si="29"/>
        <v>0</v>
      </c>
      <c r="AE65" s="2"/>
      <c r="AG65">
        <f t="shared" si="30"/>
        <v>2010</v>
      </c>
      <c r="AH65" s="6">
        <f t="shared" si="58"/>
        <v>0.20197458752161407</v>
      </c>
      <c r="AI65" s="7"/>
      <c r="AJ65" s="6">
        <f t="shared" si="47"/>
        <v>0.16464394332325255</v>
      </c>
      <c r="AK65" s="6">
        <f t="shared" si="47"/>
        <v>0.1104190080680299</v>
      </c>
      <c r="AL65" s="7"/>
      <c r="AM65" s="6">
        <f t="shared" si="61"/>
        <v>0.14535539764209099</v>
      </c>
      <c r="AN65" s="38">
        <f t="shared" si="32"/>
        <v>0.3776070634450126</v>
      </c>
      <c r="AO65" s="6">
        <f t="shared" si="33"/>
        <v>1</v>
      </c>
      <c r="AP65" s="7">
        <f t="shared" si="34"/>
        <v>0.62239293655498751</v>
      </c>
      <c r="AQ65" s="7">
        <f t="shared" si="35"/>
        <v>0</v>
      </c>
      <c r="AR65" s="24"/>
      <c r="AS65">
        <f t="shared" si="36"/>
        <v>2010</v>
      </c>
      <c r="AT65" s="1" t="b">
        <f t="shared" si="37"/>
        <v>1</v>
      </c>
      <c r="AV65" s="1" t="b">
        <f t="shared" si="54"/>
        <v>1</v>
      </c>
      <c r="AW65" s="1" t="b">
        <f t="shared" si="55"/>
        <v>1</v>
      </c>
      <c r="AY65" s="1" t="b">
        <f t="shared" si="45"/>
        <v>1</v>
      </c>
      <c r="AZ65" s="1" t="b">
        <f t="shared" si="9"/>
        <v>1</v>
      </c>
      <c r="BA65" s="1" t="b">
        <f t="shared" si="39"/>
        <v>1</v>
      </c>
      <c r="BC65">
        <f t="shared" si="40"/>
        <v>2010</v>
      </c>
      <c r="BD65" s="2">
        <f t="shared" si="56"/>
        <v>80896.440810660701</v>
      </c>
      <c r="BE65" s="2"/>
      <c r="BF65" s="2">
        <f t="shared" si="48"/>
        <v>60672.330607995515</v>
      </c>
      <c r="BG65" s="2">
        <f t="shared" si="48"/>
        <v>40448.22040533035</v>
      </c>
      <c r="BH65" s="2"/>
      <c r="BI65" s="2">
        <f t="shared" si="57"/>
        <v>60672.330607995515</v>
      </c>
      <c r="BJ65" s="2">
        <f t="shared" si="12"/>
        <v>161792.8816213214</v>
      </c>
      <c r="BK65" s="2">
        <f t="shared" si="41"/>
        <v>404482.20405330346</v>
      </c>
      <c r="BL65" s="2">
        <f t="shared" si="42"/>
        <v>0</v>
      </c>
      <c r="BM65" s="2"/>
    </row>
    <row r="66" spans="1:65" x14ac:dyDescent="0.2">
      <c r="A66">
        <f t="shared" si="5"/>
        <v>2011</v>
      </c>
      <c r="B66" s="2">
        <f t="shared" si="46"/>
        <v>82490.100694630717</v>
      </c>
      <c r="C66" s="2"/>
      <c r="D66" s="2">
        <f t="shared" si="49"/>
        <v>59392.14443216681</v>
      </c>
      <c r="E66" s="2">
        <f t="shared" si="50"/>
        <v>39315.670233981102</v>
      </c>
      <c r="F66" s="2"/>
      <c r="G66" s="2">
        <f t="shared" si="44"/>
        <v>51838.439271471369</v>
      </c>
      <c r="H66" s="2">
        <f t="shared" si="16"/>
        <v>174024.42347189333</v>
      </c>
      <c r="I66" s="2">
        <f t="shared" si="43"/>
        <v>407060.77810414333</v>
      </c>
      <c r="J66" s="2">
        <f t="shared" si="17"/>
        <v>-5734.8600913487026</v>
      </c>
      <c r="K66" s="83">
        <f t="shared" si="18"/>
        <v>-1.3892734226597578E-2</v>
      </c>
      <c r="L66" s="7">
        <f t="shared" si="19"/>
        <v>0.98610726577340246</v>
      </c>
      <c r="N66">
        <f t="shared" si="20"/>
        <v>2011</v>
      </c>
      <c r="O66" s="2">
        <f t="shared" si="21"/>
        <v>8562.8371664541646</v>
      </c>
      <c r="P66" s="2"/>
      <c r="Q66" s="2"/>
      <c r="R66">
        <f t="shared" si="22"/>
        <v>2011</v>
      </c>
      <c r="S66" s="2">
        <f t="shared" si="51"/>
        <v>80777.533261339879</v>
      </c>
      <c r="T66" s="2"/>
      <c r="U66" s="2">
        <f t="shared" si="52"/>
        <v>57679.576998875978</v>
      </c>
      <c r="V66" s="2">
        <f t="shared" si="52"/>
        <v>37603.102800690271</v>
      </c>
      <c r="W66" s="2"/>
      <c r="X66" s="2">
        <f t="shared" si="53"/>
        <v>50125.871838180537</v>
      </c>
      <c r="Y66" s="2">
        <f t="shared" si="53"/>
        <v>172311.85603860251</v>
      </c>
      <c r="Z66" s="2">
        <f t="shared" si="25"/>
        <v>398497.94093768916</v>
      </c>
      <c r="AA66" s="2">
        <f t="shared" si="59"/>
        <v>-5984.2631156143034</v>
      </c>
      <c r="AB66" s="83">
        <f t="shared" si="60"/>
        <v>-1.479487368207103E-2</v>
      </c>
      <c r="AC66" s="7">
        <f t="shared" si="28"/>
        <v>0.985205126317929</v>
      </c>
      <c r="AD66" s="2">
        <f t="shared" si="29"/>
        <v>0</v>
      </c>
      <c r="AE66" s="2"/>
      <c r="AG66">
        <f t="shared" si="30"/>
        <v>2011</v>
      </c>
      <c r="AH66" s="6">
        <f t="shared" si="58"/>
        <v>0.20270502043565289</v>
      </c>
      <c r="AI66" s="7"/>
      <c r="AJ66" s="6">
        <f t="shared" si="47"/>
        <v>0.14474247185105282</v>
      </c>
      <c r="AK66" s="6">
        <f t="shared" si="47"/>
        <v>9.4362100622673112E-2</v>
      </c>
      <c r="AL66" s="7"/>
      <c r="AM66" s="6">
        <f t="shared" si="61"/>
        <v>0.12578702846050197</v>
      </c>
      <c r="AN66" s="6">
        <f t="shared" si="32"/>
        <v>0.43240337863011924</v>
      </c>
      <c r="AO66" s="6">
        <f t="shared" si="33"/>
        <v>1</v>
      </c>
      <c r="AP66" s="7">
        <f t="shared" si="34"/>
        <v>0.56759662136988076</v>
      </c>
      <c r="AQ66" s="7">
        <f t="shared" si="35"/>
        <v>0</v>
      </c>
      <c r="AR66" s="24"/>
      <c r="AS66">
        <f t="shared" si="36"/>
        <v>2011</v>
      </c>
      <c r="AT66" s="1" t="b">
        <f t="shared" si="37"/>
        <v>1</v>
      </c>
      <c r="AV66" s="1" t="b">
        <f t="shared" si="54"/>
        <v>1</v>
      </c>
      <c r="AW66" s="1" t="b">
        <f t="shared" si="55"/>
        <v>1</v>
      </c>
      <c r="AY66" s="1" t="b">
        <f t="shared" si="45"/>
        <v>1</v>
      </c>
      <c r="AZ66" s="1" t="b">
        <f t="shared" si="9"/>
        <v>1</v>
      </c>
      <c r="BA66" s="1" t="b">
        <f t="shared" si="39"/>
        <v>1</v>
      </c>
      <c r="BC66">
        <f t="shared" si="40"/>
        <v>2011</v>
      </c>
      <c r="BD66" s="2">
        <f t="shared" si="56"/>
        <v>79699.58818753784</v>
      </c>
      <c r="BE66" s="2"/>
      <c r="BF66" s="2">
        <f t="shared" si="48"/>
        <v>59774.691140653369</v>
      </c>
      <c r="BG66" s="2">
        <f t="shared" si="48"/>
        <v>39849.79409376892</v>
      </c>
      <c r="BH66" s="2"/>
      <c r="BI66" s="2">
        <f t="shared" si="57"/>
        <v>59774.691140653369</v>
      </c>
      <c r="BJ66" s="2">
        <f t="shared" si="12"/>
        <v>159399.17637507568</v>
      </c>
      <c r="BK66" s="2">
        <f t="shared" si="41"/>
        <v>398497.94093768916</v>
      </c>
      <c r="BL66" s="2">
        <f t="shared" si="42"/>
        <v>0</v>
      </c>
      <c r="BM66" s="2"/>
    </row>
    <row r="67" spans="1:65" x14ac:dyDescent="0.2">
      <c r="A67">
        <f t="shared" si="5"/>
        <v>2012</v>
      </c>
      <c r="B67" s="2">
        <f t="shared" si="46"/>
        <v>92308.063038806315</v>
      </c>
      <c r="C67" s="2"/>
      <c r="D67" s="2">
        <f t="shared" si="49"/>
        <v>69219.092340876596</v>
      </c>
      <c r="E67" s="2">
        <f t="shared" si="50"/>
        <v>47038.696948284836</v>
      </c>
      <c r="F67" s="2"/>
      <c r="G67" s="2">
        <f t="shared" si="44"/>
        <v>70617.820113567897</v>
      </c>
      <c r="H67" s="2">
        <f t="shared" si="16"/>
        <v>165854.84301826626</v>
      </c>
      <c r="I67" s="2">
        <f t="shared" si="43"/>
        <v>445038.51545980189</v>
      </c>
      <c r="J67" s="2">
        <f t="shared" si="17"/>
        <v>37977.737355658552</v>
      </c>
      <c r="K67" s="83">
        <f t="shared" si="18"/>
        <v>9.3297461702247925E-2</v>
      </c>
      <c r="L67" s="7">
        <f t="shared" si="19"/>
        <v>1.093297461702248</v>
      </c>
      <c r="N67">
        <f t="shared" si="20"/>
        <v>2012</v>
      </c>
      <c r="O67" s="2">
        <f t="shared" si="21"/>
        <v>8716.9682354503402</v>
      </c>
      <c r="P67" s="2"/>
      <c r="Q67" s="2"/>
      <c r="R67">
        <f t="shared" si="22"/>
        <v>2012</v>
      </c>
      <c r="S67" s="2">
        <f t="shared" si="51"/>
        <v>90564.669391716248</v>
      </c>
      <c r="T67" s="2"/>
      <c r="U67" s="2">
        <f t="shared" si="52"/>
        <v>67475.698693786529</v>
      </c>
      <c r="V67" s="2">
        <f t="shared" si="52"/>
        <v>45295.30330119477</v>
      </c>
      <c r="W67" s="2"/>
      <c r="X67" s="2">
        <f t="shared" si="53"/>
        <v>68874.426466477831</v>
      </c>
      <c r="Y67" s="2">
        <f t="shared" si="53"/>
        <v>164111.44937117619</v>
      </c>
      <c r="Z67" s="2">
        <f t="shared" si="25"/>
        <v>436321.54722435155</v>
      </c>
      <c r="AA67" s="2">
        <f t="shared" si="59"/>
        <v>37823.606286662398</v>
      </c>
      <c r="AB67" s="83">
        <f t="shared" si="60"/>
        <v>9.4915437198147684E-2</v>
      </c>
      <c r="AC67" s="7">
        <f t="shared" si="28"/>
        <v>1.0949154371981478</v>
      </c>
      <c r="AD67" s="2">
        <f t="shared" si="29"/>
        <v>0</v>
      </c>
      <c r="AE67" s="2"/>
      <c r="AG67">
        <f t="shared" si="30"/>
        <v>2012</v>
      </c>
      <c r="AH67" s="6">
        <f t="shared" si="58"/>
        <v>0.20756405446359708</v>
      </c>
      <c r="AI67" s="7"/>
      <c r="AJ67" s="6">
        <f t="shared" si="47"/>
        <v>0.15464672584480751</v>
      </c>
      <c r="AK67" s="6">
        <f t="shared" si="47"/>
        <v>0.10381174981923239</v>
      </c>
      <c r="AL67" s="7"/>
      <c r="AM67" s="6">
        <f t="shared" si="61"/>
        <v>0.1578524528633086</v>
      </c>
      <c r="AN67" s="6">
        <f t="shared" si="32"/>
        <v>0.37612501700905449</v>
      </c>
      <c r="AO67" s="6">
        <f t="shared" si="33"/>
        <v>1</v>
      </c>
      <c r="AP67" s="7">
        <f t="shared" si="34"/>
        <v>0.62387498299094557</v>
      </c>
      <c r="AQ67" s="7">
        <f t="shared" si="35"/>
        <v>0</v>
      </c>
      <c r="AR67" s="24"/>
      <c r="AS67">
        <f t="shared" si="36"/>
        <v>2012</v>
      </c>
      <c r="AT67" s="1" t="b">
        <f t="shared" si="37"/>
        <v>1</v>
      </c>
      <c r="AV67" s="1" t="b">
        <f t="shared" si="54"/>
        <v>1</v>
      </c>
      <c r="AW67" s="1" t="b">
        <f t="shared" si="55"/>
        <v>1</v>
      </c>
      <c r="AY67" s="1" t="b">
        <f t="shared" si="45"/>
        <v>1</v>
      </c>
      <c r="AZ67" s="1" t="b">
        <f t="shared" si="9"/>
        <v>1</v>
      </c>
      <c r="BA67" s="1" t="b">
        <f t="shared" si="39"/>
        <v>1</v>
      </c>
      <c r="BC67">
        <f t="shared" si="40"/>
        <v>2012</v>
      </c>
      <c r="BD67" s="2">
        <f t="shared" si="56"/>
        <v>87264.30944487032</v>
      </c>
      <c r="BE67" s="2"/>
      <c r="BF67" s="2">
        <f t="shared" si="48"/>
        <v>65448.232083652729</v>
      </c>
      <c r="BG67" s="2">
        <f t="shared" si="48"/>
        <v>43632.15472243516</v>
      </c>
      <c r="BH67" s="2"/>
      <c r="BI67" s="2">
        <f t="shared" si="57"/>
        <v>65448.232083652729</v>
      </c>
      <c r="BJ67" s="2">
        <f t="shared" si="12"/>
        <v>174528.61888974064</v>
      </c>
      <c r="BK67" s="2">
        <f t="shared" si="41"/>
        <v>436321.54722435155</v>
      </c>
      <c r="BL67" s="2">
        <f t="shared" si="42"/>
        <v>0</v>
      </c>
      <c r="BM67" s="2"/>
    </row>
    <row r="68" spans="1:65" x14ac:dyDescent="0.2">
      <c r="A68">
        <f t="shared" si="5"/>
        <v>2013</v>
      </c>
      <c r="B68" s="2">
        <f t="shared" si="46"/>
        <v>115345.9642242296</v>
      </c>
      <c r="C68" s="2"/>
      <c r="D68" s="2">
        <f t="shared" si="49"/>
        <v>88355.113312931193</v>
      </c>
      <c r="E68" s="2">
        <f t="shared" si="50"/>
        <v>60046.571329015263</v>
      </c>
      <c r="F68" s="2"/>
      <c r="G68" s="2">
        <f t="shared" si="44"/>
        <v>75291.646189034087</v>
      </c>
      <c r="H68" s="2">
        <f t="shared" si="16"/>
        <v>170584.2721028325</v>
      </c>
      <c r="I68" s="2">
        <f t="shared" ref="I68:I69" si="62">SUM(B68:H68)</f>
        <v>509623.56715804263</v>
      </c>
      <c r="J68" s="2">
        <f t="shared" si="17"/>
        <v>64585.051698240743</v>
      </c>
      <c r="K68" s="83">
        <f t="shared" si="18"/>
        <v>0.14512238706241681</v>
      </c>
      <c r="L68" s="7">
        <f t="shared" si="19"/>
        <v>1.1451223870624168</v>
      </c>
      <c r="N68">
        <f t="shared" si="20"/>
        <v>2013</v>
      </c>
      <c r="O68" s="2">
        <f t="shared" si="21"/>
        <v>8817.7007973373929</v>
      </c>
      <c r="P68" s="2"/>
      <c r="Q68" s="2"/>
      <c r="R68">
        <f t="shared" si="22"/>
        <v>2013</v>
      </c>
      <c r="S68" s="2">
        <f t="shared" si="51"/>
        <v>113582.42406476212</v>
      </c>
      <c r="T68" s="2"/>
      <c r="U68" s="2">
        <f t="shared" si="52"/>
        <v>86591.573153463716</v>
      </c>
      <c r="V68" s="2">
        <f t="shared" si="52"/>
        <v>58283.031169547787</v>
      </c>
      <c r="W68" s="2"/>
      <c r="X68" s="2">
        <f t="shared" si="53"/>
        <v>73528.10602956661</v>
      </c>
      <c r="Y68" s="2">
        <f t="shared" si="53"/>
        <v>168820.73194336501</v>
      </c>
      <c r="Z68" s="2">
        <f t="shared" si="25"/>
        <v>500805.86636070529</v>
      </c>
      <c r="AA68" s="2">
        <f t="shared" si="59"/>
        <v>64484.319136353733</v>
      </c>
      <c r="AB68" s="83">
        <f t="shared" si="60"/>
        <v>0.14779081974422095</v>
      </c>
      <c r="AC68" s="7">
        <f t="shared" si="28"/>
        <v>1.147790819744221</v>
      </c>
      <c r="AD68" s="2">
        <f t="shared" si="29"/>
        <v>0</v>
      </c>
      <c r="AE68" s="2"/>
      <c r="AG68">
        <f t="shared" si="30"/>
        <v>2013</v>
      </c>
      <c r="AH68" s="6">
        <f t="shared" si="58"/>
        <v>0.22679930826320316</v>
      </c>
      <c r="AI68" s="7"/>
      <c r="AJ68" s="6">
        <f t="shared" si="47"/>
        <v>0.17290447051412164</v>
      </c>
      <c r="AK68" s="6">
        <f t="shared" si="47"/>
        <v>0.11637849131657226</v>
      </c>
      <c r="AL68" s="7"/>
      <c r="AM68" s="6">
        <f t="shared" si="61"/>
        <v>0.14681957814089983</v>
      </c>
      <c r="AN68" s="6">
        <f t="shared" si="32"/>
        <v>0.33709815176520302</v>
      </c>
      <c r="AO68" s="6">
        <f t="shared" si="33"/>
        <v>1</v>
      </c>
      <c r="AP68" s="7">
        <f t="shared" si="34"/>
        <v>0.66290184823479692</v>
      </c>
      <c r="AQ68" s="7">
        <f t="shared" si="35"/>
        <v>0</v>
      </c>
      <c r="AR68" s="24"/>
      <c r="AS68">
        <f t="shared" si="36"/>
        <v>2013</v>
      </c>
      <c r="AT68" s="1" t="b">
        <f t="shared" si="37"/>
        <v>1</v>
      </c>
      <c r="AV68" s="1" t="b">
        <f t="shared" si="54"/>
        <v>1</v>
      </c>
      <c r="AW68" s="1" t="b">
        <f t="shared" si="55"/>
        <v>1</v>
      </c>
      <c r="AY68" s="1" t="b">
        <f t="shared" si="45"/>
        <v>1</v>
      </c>
      <c r="AZ68" s="1" t="b">
        <f t="shared" si="9"/>
        <v>0</v>
      </c>
      <c r="BA68" s="1" t="b">
        <f t="shared" si="39"/>
        <v>1</v>
      </c>
      <c r="BC68">
        <f t="shared" si="40"/>
        <v>2013</v>
      </c>
      <c r="BD68" s="2">
        <f t="shared" si="56"/>
        <v>100161.17327214107</v>
      </c>
      <c r="BE68" s="2"/>
      <c r="BF68" s="2">
        <f t="shared" si="48"/>
        <v>75120.879954105796</v>
      </c>
      <c r="BG68" s="2">
        <f t="shared" si="48"/>
        <v>50080.586636070533</v>
      </c>
      <c r="BH68" s="2"/>
      <c r="BI68" s="2">
        <f t="shared" si="57"/>
        <v>75120.879954105796</v>
      </c>
      <c r="BJ68" s="2">
        <f t="shared" si="12"/>
        <v>200322.34654428213</v>
      </c>
      <c r="BK68" s="2">
        <f t="shared" si="41"/>
        <v>500805.86636070529</v>
      </c>
      <c r="BL68" s="2">
        <f t="shared" si="42"/>
        <v>0</v>
      </c>
      <c r="BM68" s="2"/>
    </row>
    <row r="69" spans="1:65" x14ac:dyDescent="0.2">
      <c r="A69">
        <f t="shared" si="5"/>
        <v>2014</v>
      </c>
      <c r="B69" s="2">
        <f t="shared" si="46"/>
        <v>113692.94778120733</v>
      </c>
      <c r="C69" s="2"/>
      <c r="D69" s="2">
        <f t="shared" si="49"/>
        <v>85337.319627864199</v>
      </c>
      <c r="E69" s="2">
        <f t="shared" si="50"/>
        <v>53771.525871148937</v>
      </c>
      <c r="F69" s="2"/>
      <c r="G69" s="2">
        <f t="shared" si="44"/>
        <v>71935.754644051718</v>
      </c>
      <c r="H69" s="2">
        <f t="shared" si="16"/>
        <v>211860.91370523282</v>
      </c>
      <c r="I69" s="2">
        <f t="shared" si="62"/>
        <v>536598.46162950504</v>
      </c>
      <c r="J69" s="2">
        <f t="shared" si="17"/>
        <v>26974.894471462409</v>
      </c>
      <c r="K69" s="83">
        <f t="shared" si="18"/>
        <v>5.2931018519983497E-2</v>
      </c>
      <c r="L69" s="7">
        <f t="shared" si="19"/>
        <v>1.0529310185199834</v>
      </c>
      <c r="N69">
        <f t="shared" si="20"/>
        <v>2014</v>
      </c>
      <c r="O69" s="2">
        <f t="shared" si="21"/>
        <v>8931.4491376230453</v>
      </c>
      <c r="P69" s="2"/>
      <c r="R69">
        <f t="shared" si="22"/>
        <v>2014</v>
      </c>
      <c r="S69" s="2">
        <f t="shared" si="51"/>
        <v>111906.65795368272</v>
      </c>
      <c r="T69" s="2"/>
      <c r="U69" s="2">
        <f t="shared" si="52"/>
        <v>83551.029800339587</v>
      </c>
      <c r="V69" s="2">
        <f t="shared" si="52"/>
        <v>51985.236043624325</v>
      </c>
      <c r="W69" s="2"/>
      <c r="X69" s="2">
        <f t="shared" si="53"/>
        <v>70149.464816527106</v>
      </c>
      <c r="Y69" s="2">
        <f t="shared" si="53"/>
        <v>210074.62387770822</v>
      </c>
      <c r="Z69" s="2">
        <f t="shared" si="25"/>
        <v>527667.01249188196</v>
      </c>
      <c r="AA69" s="2">
        <f t="shared" si="59"/>
        <v>26861.146131176676</v>
      </c>
      <c r="AB69" s="83">
        <f t="shared" si="60"/>
        <v>5.3635845614935236E-2</v>
      </c>
      <c r="AC69" s="7">
        <f t="shared" si="28"/>
        <v>1.0536358456149353</v>
      </c>
      <c r="AD69" s="2">
        <f t="shared" si="29"/>
        <v>0</v>
      </c>
      <c r="AE69" s="2"/>
      <c r="AG69">
        <f t="shared" si="30"/>
        <v>2014</v>
      </c>
      <c r="AH69" s="6">
        <f t="shared" si="58"/>
        <v>0.21207817677517671</v>
      </c>
      <c r="AI69" s="7"/>
      <c r="AJ69" s="6">
        <f t="shared" si="47"/>
        <v>0.15834044543693168</v>
      </c>
      <c r="AK69" s="6">
        <f t="shared" si="47"/>
        <v>9.8519018268977174E-2</v>
      </c>
      <c r="AL69" s="7"/>
      <c r="AM69" s="6">
        <f t="shared" si="61"/>
        <v>0.13294267626329273</v>
      </c>
      <c r="AN69" s="6">
        <f t="shared" si="32"/>
        <v>0.39811968325562169</v>
      </c>
      <c r="AO69" s="6">
        <f t="shared" ref="AO69:AO71" si="63">SUM(AH69:AN69)</f>
        <v>1</v>
      </c>
      <c r="AP69" s="7">
        <f t="shared" ref="AP69:AP71" si="64">SUM(AH69:AM69)</f>
        <v>0.60188031674437836</v>
      </c>
      <c r="AQ69" s="7">
        <f t="shared" si="35"/>
        <v>0</v>
      </c>
      <c r="AR69" s="24"/>
      <c r="AS69">
        <f t="shared" si="36"/>
        <v>2014</v>
      </c>
      <c r="AT69" s="1" t="b">
        <f t="shared" si="37"/>
        <v>1</v>
      </c>
      <c r="AV69" s="1" t="b">
        <f t="shared" si="54"/>
        <v>1</v>
      </c>
      <c r="AW69" s="1" t="b">
        <f t="shared" si="55"/>
        <v>1</v>
      </c>
      <c r="AY69" s="1" t="b">
        <f t="shared" si="45"/>
        <v>1</v>
      </c>
      <c r="AZ69" s="1" t="b">
        <f t="shared" si="9"/>
        <v>1</v>
      </c>
      <c r="BA69" s="1" t="b">
        <f t="shared" si="39"/>
        <v>1</v>
      </c>
      <c r="BC69">
        <f t="shared" si="40"/>
        <v>2014</v>
      </c>
      <c r="BD69" s="2">
        <f t="shared" si="56"/>
        <v>105533.4024983764</v>
      </c>
      <c r="BE69" s="2"/>
      <c r="BF69" s="2">
        <f t="shared" si="48"/>
        <v>79150.051873782286</v>
      </c>
      <c r="BG69" s="2">
        <f t="shared" si="48"/>
        <v>52766.701249188198</v>
      </c>
      <c r="BH69" s="2"/>
      <c r="BI69" s="2">
        <f t="shared" si="57"/>
        <v>79150.051873782286</v>
      </c>
      <c r="BJ69" s="2">
        <f t="shared" si="12"/>
        <v>211066.80499675279</v>
      </c>
      <c r="BK69" s="2">
        <f t="shared" si="41"/>
        <v>527667.01249188196</v>
      </c>
      <c r="BL69" s="2">
        <f t="shared" si="42"/>
        <v>0</v>
      </c>
      <c r="BM69" s="20"/>
    </row>
    <row r="70" spans="1:65" x14ac:dyDescent="0.2">
      <c r="A70">
        <f t="shared" si="5"/>
        <v>2015</v>
      </c>
      <c r="B70" s="2">
        <f t="shared" si="46"/>
        <v>106852.5700296061</v>
      </c>
      <c r="C70" s="2"/>
      <c r="D70" s="2">
        <f t="shared" si="49"/>
        <v>77994.461116425067</v>
      </c>
      <c r="E70" s="2">
        <f t="shared" si="50"/>
        <v>50772.119941968878</v>
      </c>
      <c r="F70" s="2"/>
      <c r="G70" s="2">
        <f t="shared" si="44"/>
        <v>75691.194606898003</v>
      </c>
      <c r="H70" s="2">
        <f t="shared" si="16"/>
        <v>211700.00541174304</v>
      </c>
      <c r="I70" s="2">
        <f t="shared" ref="I70:I71" si="65">SUM(B70:H70)</f>
        <v>523010.35110664112</v>
      </c>
      <c r="J70" s="2">
        <f t="shared" si="17"/>
        <v>-13588.110522863921</v>
      </c>
      <c r="K70" s="83">
        <f t="shared" si="18"/>
        <v>-2.5322678864192955E-2</v>
      </c>
      <c r="L70" s="7">
        <f t="shared" si="19"/>
        <v>0.97467732113580707</v>
      </c>
      <c r="N70">
        <f t="shared" si="20"/>
        <v>2015</v>
      </c>
      <c r="O70" s="2">
        <f t="shared" si="21"/>
        <v>8970.7475138285863</v>
      </c>
      <c r="P70" s="2"/>
      <c r="R70">
        <f t="shared" si="22"/>
        <v>2015</v>
      </c>
      <c r="S70" s="2">
        <f t="shared" si="51"/>
        <v>105058.42052684037</v>
      </c>
      <c r="T70" s="2"/>
      <c r="U70" s="2">
        <f t="shared" si="52"/>
        <v>76200.311613659345</v>
      </c>
      <c r="V70" s="2">
        <f t="shared" si="52"/>
        <v>48977.970439203164</v>
      </c>
      <c r="W70" s="2"/>
      <c r="X70" s="2">
        <f t="shared" si="53"/>
        <v>73897.045104132281</v>
      </c>
      <c r="Y70" s="2">
        <f t="shared" si="53"/>
        <v>209905.85590897733</v>
      </c>
      <c r="Z70" s="2">
        <f t="shared" si="25"/>
        <v>514039.60359281249</v>
      </c>
      <c r="AA70" s="2">
        <f t="shared" si="59"/>
        <v>-13627.408899069473</v>
      </c>
      <c r="AB70" s="83">
        <f t="shared" si="60"/>
        <v>-2.5825773786226833E-2</v>
      </c>
      <c r="AC70" s="7">
        <f t="shared" si="28"/>
        <v>0.97417422621377314</v>
      </c>
      <c r="AD70" s="2">
        <f t="shared" si="29"/>
        <v>0</v>
      </c>
      <c r="AE70" s="2"/>
      <c r="AG70">
        <f t="shared" si="30"/>
        <v>2015</v>
      </c>
      <c r="AH70" s="6">
        <f t="shared" si="58"/>
        <v>0.20437806696711364</v>
      </c>
      <c r="AI70" s="7"/>
      <c r="AJ70" s="6">
        <f t="shared" ref="AJ70:AK71" si="66">U70/$Z70</f>
        <v>0.14823821176630603</v>
      </c>
      <c r="AK70" s="6">
        <f t="shared" si="66"/>
        <v>9.5280538886261007E-2</v>
      </c>
      <c r="AL70" s="7"/>
      <c r="AM70" s="6">
        <f t="shared" si="61"/>
        <v>0.14375749375658717</v>
      </c>
      <c r="AN70" s="6">
        <f t="shared" si="32"/>
        <v>0.40834568862373216</v>
      </c>
      <c r="AO70" s="6">
        <f t="shared" si="63"/>
        <v>1</v>
      </c>
      <c r="AP70" s="7">
        <f t="shared" si="64"/>
        <v>0.59165431137626789</v>
      </c>
      <c r="AQ70" s="7">
        <f t="shared" si="35"/>
        <v>0</v>
      </c>
      <c r="AR70" s="24"/>
      <c r="AS70">
        <f t="shared" si="36"/>
        <v>2015</v>
      </c>
      <c r="AT70" s="1" t="b">
        <f t="shared" si="37"/>
        <v>1</v>
      </c>
      <c r="AV70" s="1" t="b">
        <f t="shared" si="54"/>
        <v>1</v>
      </c>
      <c r="AW70" s="1" t="b">
        <f t="shared" si="55"/>
        <v>1</v>
      </c>
      <c r="AY70" s="1" t="b">
        <f t="shared" si="45"/>
        <v>1</v>
      </c>
      <c r="AZ70" s="1" t="b">
        <f t="shared" si="9"/>
        <v>1</v>
      </c>
      <c r="BA70" s="1" t="b">
        <f t="shared" si="39"/>
        <v>1</v>
      </c>
      <c r="BC70">
        <f t="shared" si="40"/>
        <v>2015</v>
      </c>
      <c r="BD70" s="2">
        <f t="shared" si="56"/>
        <v>102807.9207185625</v>
      </c>
      <c r="BE70" s="2"/>
      <c r="BF70" s="2">
        <f t="shared" ref="BF70:BG71" si="67">$BK70*BF$42</f>
        <v>77105.940538921874</v>
      </c>
      <c r="BG70" s="2">
        <f t="shared" si="67"/>
        <v>51403.960359281249</v>
      </c>
      <c r="BH70" s="2"/>
      <c r="BI70" s="2">
        <f t="shared" si="57"/>
        <v>77105.940538921874</v>
      </c>
      <c r="BJ70" s="2">
        <f t="shared" si="12"/>
        <v>205615.841437125</v>
      </c>
      <c r="BK70" s="2">
        <f t="shared" si="41"/>
        <v>514039.60359281249</v>
      </c>
      <c r="BL70" s="2">
        <f t="shared" si="42"/>
        <v>0</v>
      </c>
      <c r="BM70" s="20"/>
    </row>
    <row r="71" spans="1:65" x14ac:dyDescent="0.2">
      <c r="A71">
        <f t="shared" si="5"/>
        <v>2016</v>
      </c>
      <c r="B71" s="2">
        <f t="shared" si="46"/>
        <v>114959.8169474966</v>
      </c>
      <c r="C71" s="2"/>
      <c r="D71" s="2">
        <f t="shared" si="49"/>
        <v>85641.568156580528</v>
      </c>
      <c r="E71" s="2">
        <f t="shared" si="50"/>
        <v>60744.059956562647</v>
      </c>
      <c r="F71" s="2"/>
      <c r="G71" s="2">
        <f t="shared" si="44"/>
        <v>80691.366773981747</v>
      </c>
      <c r="H71" s="2">
        <f t="shared" si="16"/>
        <v>210756.2374730531</v>
      </c>
      <c r="I71" s="2">
        <f t="shared" si="65"/>
        <v>552793.04930767464</v>
      </c>
      <c r="J71" s="2">
        <f t="shared" si="17"/>
        <v>29782.69820103352</v>
      </c>
      <c r="K71" s="83">
        <f t="shared" si="18"/>
        <v>5.6944758622876408E-2</v>
      </c>
      <c r="L71" s="7">
        <f t="shared" si="19"/>
        <v>1.0569447586228764</v>
      </c>
      <c r="N71">
        <f t="shared" si="20"/>
        <v>2016</v>
      </c>
      <c r="O71" s="2">
        <f t="shared" si="21"/>
        <v>9123.2502215636723</v>
      </c>
      <c r="P71" s="2"/>
      <c r="R71">
        <f t="shared" si="22"/>
        <v>2016</v>
      </c>
      <c r="S71" s="2">
        <f t="shared" si="51"/>
        <v>113135.16690318387</v>
      </c>
      <c r="T71" s="2"/>
      <c r="U71" s="2">
        <f t="shared" ref="U71:V71" si="68">D71-($O71/5)</f>
        <v>83816.918112267798</v>
      </c>
      <c r="V71" s="2">
        <f t="shared" si="68"/>
        <v>58919.40991224991</v>
      </c>
      <c r="W71" s="2"/>
      <c r="X71" s="2">
        <f t="shared" ref="X71:Y71" si="69">G71-($O71/5)</f>
        <v>78866.716729669017</v>
      </c>
      <c r="Y71" s="2">
        <f t="shared" si="69"/>
        <v>208931.58742874037</v>
      </c>
      <c r="Z71" s="2">
        <f t="shared" si="25"/>
        <v>543669.7990861109</v>
      </c>
      <c r="AA71" s="2">
        <f t="shared" si="59"/>
        <v>29630.195493298408</v>
      </c>
      <c r="AB71" s="83">
        <f t="shared" si="60"/>
        <v>5.7641853441256351E-2</v>
      </c>
      <c r="AC71" s="7">
        <f t="shared" si="28"/>
        <v>1.0576418534412564</v>
      </c>
      <c r="AD71" s="2">
        <f t="shared" si="29"/>
        <v>0</v>
      </c>
      <c r="AE71" s="2"/>
      <c r="AG71">
        <f t="shared" si="30"/>
        <v>2016</v>
      </c>
      <c r="AH71" s="6">
        <f t="shared" si="58"/>
        <v>0.20809536798505263</v>
      </c>
      <c r="AI71" s="7"/>
      <c r="AJ71" s="6">
        <f t="shared" si="66"/>
        <v>0.15416879556885629</v>
      </c>
      <c r="AK71" s="6">
        <f t="shared" si="66"/>
        <v>0.10837352012433152</v>
      </c>
      <c r="AL71" s="7"/>
      <c r="AM71" s="6">
        <f t="shared" si="61"/>
        <v>0.14506363395987987</v>
      </c>
      <c r="AN71" s="6">
        <f t="shared" si="32"/>
        <v>0.38429868236187986</v>
      </c>
      <c r="AO71" s="6">
        <f t="shared" si="63"/>
        <v>1.0000000000000002</v>
      </c>
      <c r="AP71" s="7">
        <f t="shared" si="64"/>
        <v>0.6157013176381203</v>
      </c>
      <c r="AQ71" s="7">
        <f t="shared" si="35"/>
        <v>0</v>
      </c>
      <c r="AR71" s="24"/>
      <c r="AS71">
        <f t="shared" si="36"/>
        <v>2016</v>
      </c>
      <c r="AT71" s="1" t="b">
        <f t="shared" si="37"/>
        <v>1</v>
      </c>
      <c r="AV71" s="1" t="b">
        <f t="shared" si="54"/>
        <v>1</v>
      </c>
      <c r="AW71" s="1" t="b">
        <f t="shared" si="55"/>
        <v>1</v>
      </c>
      <c r="AY71" s="1" t="b">
        <f t="shared" si="45"/>
        <v>1</v>
      </c>
      <c r="AZ71" s="1" t="b">
        <f t="shared" si="9"/>
        <v>1</v>
      </c>
      <c r="BA71" s="1" t="b">
        <f t="shared" si="39"/>
        <v>1</v>
      </c>
      <c r="BC71">
        <f t="shared" si="40"/>
        <v>2016</v>
      </c>
      <c r="BD71" s="2">
        <f t="shared" si="56"/>
        <v>108733.95981722219</v>
      </c>
      <c r="BE71" s="2"/>
      <c r="BF71" s="2">
        <f t="shared" si="67"/>
        <v>81550.469862916638</v>
      </c>
      <c r="BG71" s="2">
        <f t="shared" si="67"/>
        <v>54366.979908611094</v>
      </c>
      <c r="BH71" s="2"/>
      <c r="BI71" s="2">
        <f t="shared" si="57"/>
        <v>81550.469862916638</v>
      </c>
      <c r="BJ71" s="2">
        <f t="shared" si="12"/>
        <v>217467.91963444438</v>
      </c>
      <c r="BK71" s="2">
        <f t="shared" si="41"/>
        <v>543669.7990861109</v>
      </c>
      <c r="BL71" s="2">
        <f t="shared" si="42"/>
        <v>0</v>
      </c>
      <c r="BM71" s="20"/>
    </row>
    <row r="72" spans="1:65" x14ac:dyDescent="0.2">
      <c r="A72">
        <f t="shared" si="5"/>
        <v>2017</v>
      </c>
      <c r="B72" s="2">
        <f t="shared" si="46"/>
        <v>132296.60890961424</v>
      </c>
      <c r="C72" s="2"/>
      <c r="D72" s="2">
        <f t="shared" si="49"/>
        <v>97534.361956048291</v>
      </c>
      <c r="E72" s="2">
        <f t="shared" si="50"/>
        <v>63120.063673897479</v>
      </c>
      <c r="F72" s="2"/>
      <c r="G72" s="2">
        <f t="shared" si="44"/>
        <v>103895.2986053558</v>
      </c>
      <c r="H72" s="2">
        <f t="shared" si="16"/>
        <v>224992.30965379614</v>
      </c>
      <c r="I72" s="2">
        <f>SUM(B72:H72)</f>
        <v>621838.64279871201</v>
      </c>
      <c r="J72" s="2">
        <f>I72-I71</f>
        <v>69045.593491037376</v>
      </c>
      <c r="K72" s="83">
        <f>(J72/I71)</f>
        <v>0.12490315060493433</v>
      </c>
      <c r="L72" s="7">
        <f>K72+1</f>
        <v>1.1249031506049343</v>
      </c>
      <c r="N72">
        <f>A72</f>
        <v>2017</v>
      </c>
      <c r="O72" s="2">
        <f t="shared" si="21"/>
        <v>9326.6987015045415</v>
      </c>
      <c r="P72" s="2"/>
      <c r="R72">
        <f>A72</f>
        <v>2017</v>
      </c>
      <c r="S72" s="2">
        <f>B72-($O72/5)</f>
        <v>130431.26916931332</v>
      </c>
      <c r="T72" s="2"/>
      <c r="U72" s="2">
        <f t="shared" ref="U72:V73" si="70">D72-($O72/5)</f>
        <v>95669.022215747376</v>
      </c>
      <c r="V72" s="2">
        <f t="shared" si="70"/>
        <v>61254.723933596571</v>
      </c>
      <c r="W72" s="2"/>
      <c r="X72" s="2">
        <f t="shared" ref="X72:Y73" si="71">G72-($O72/5)</f>
        <v>102029.95886505488</v>
      </c>
      <c r="Y72" s="2">
        <f t="shared" si="71"/>
        <v>223126.96991349524</v>
      </c>
      <c r="Z72" s="2">
        <f>SUM(S72:Y72)</f>
        <v>612511.94409720739</v>
      </c>
      <c r="AA72" s="2">
        <f>Z72-Z71</f>
        <v>68842.145011096494</v>
      </c>
      <c r="AB72" s="83">
        <f>(AA72/Z71)</f>
        <v>0.12662492035941234</v>
      </c>
      <c r="AC72" s="7">
        <f>AB72+1</f>
        <v>1.1266249203594123</v>
      </c>
      <c r="AD72" s="2">
        <f>Z72-(I72-O72)</f>
        <v>0</v>
      </c>
      <c r="AE72" s="2"/>
      <c r="AG72">
        <f>A72</f>
        <v>2017</v>
      </c>
      <c r="AH72" s="6">
        <f>S72/$Z72</f>
        <v>0.21294485834322524</v>
      </c>
      <c r="AI72" s="7"/>
      <c r="AJ72" s="6">
        <f t="shared" ref="AJ72:AK73" si="72">U72/$Z72</f>
        <v>0.15619127616646841</v>
      </c>
      <c r="AK72" s="6">
        <f t="shared" si="72"/>
        <v>0.10000576237559095</v>
      </c>
      <c r="AL72" s="7"/>
      <c r="AM72" s="6">
        <f t="shared" ref="AM72:AN73" si="73">X72/$Z72</f>
        <v>0.16657627634582492</v>
      </c>
      <c r="AN72" s="6">
        <f t="shared" si="73"/>
        <v>0.36428182676889048</v>
      </c>
      <c r="AO72" s="6">
        <f>SUM(AH72:AN72)</f>
        <v>1</v>
      </c>
      <c r="AP72" s="7">
        <f>SUM(AH72:AM72)</f>
        <v>0.63571817323110946</v>
      </c>
      <c r="AQ72" s="7">
        <f>AO72-(AP72+AN72)</f>
        <v>0</v>
      </c>
      <c r="AR72" s="24"/>
      <c r="AS72">
        <f>AG72</f>
        <v>2017</v>
      </c>
      <c r="AT72" s="1" t="b">
        <f>AND((S72/$Z72)&gt;0.15,(S72/$Z72)&lt;0.25)</f>
        <v>1</v>
      </c>
      <c r="AV72" s="1" t="b">
        <f t="shared" si="54"/>
        <v>1</v>
      </c>
      <c r="AW72" s="1" t="b">
        <f t="shared" si="55"/>
        <v>1</v>
      </c>
      <c r="AY72" s="1" t="b">
        <f t="shared" si="45"/>
        <v>1</v>
      </c>
      <c r="AZ72" s="1" t="b">
        <f t="shared" si="9"/>
        <v>1</v>
      </c>
      <c r="BA72" s="1" t="b">
        <f>AND((Z72/$Z72)&gt;0.999,(Z72/$Z72)&lt;1.01)</f>
        <v>1</v>
      </c>
      <c r="BC72">
        <f>AS72</f>
        <v>2017</v>
      </c>
      <c r="BD72" s="2">
        <f>$BK72*BD$42</f>
        <v>122502.38881944149</v>
      </c>
      <c r="BE72" s="2"/>
      <c r="BF72" s="2">
        <f t="shared" ref="BF72:BG75" si="74">$BK72*BF$42</f>
        <v>91876.791614581103</v>
      </c>
      <c r="BG72" s="2">
        <f t="shared" si="74"/>
        <v>61251.194409720745</v>
      </c>
      <c r="BH72" s="2"/>
      <c r="BI72" s="2">
        <f t="shared" ref="BI72:BJ75" si="75">$BK72*BI$42</f>
        <v>91876.791614581103</v>
      </c>
      <c r="BJ72" s="2">
        <f t="shared" si="75"/>
        <v>245004.77763888298</v>
      </c>
      <c r="BK72" s="2">
        <f>Z72</f>
        <v>612511.94409720739</v>
      </c>
      <c r="BL72" s="2">
        <f>SUM(BD72:BJ72)-Z72</f>
        <v>0</v>
      </c>
      <c r="BM72" s="20"/>
    </row>
    <row r="73" spans="1:65" x14ac:dyDescent="0.2">
      <c r="A73" s="84">
        <f t="shared" si="5"/>
        <v>2018</v>
      </c>
      <c r="B73" s="85">
        <f t="shared" si="46"/>
        <v>116989.78132256662</v>
      </c>
      <c r="C73" s="85"/>
      <c r="D73" s="85">
        <f t="shared" si="49"/>
        <v>83332.249994425059</v>
      </c>
      <c r="E73" s="85">
        <f t="shared" si="50"/>
        <v>55493.582135206998</v>
      </c>
      <c r="F73" s="85"/>
      <c r="G73" s="85">
        <f t="shared" si="44"/>
        <v>78554.656830466847</v>
      </c>
      <c r="H73" s="85">
        <f t="shared" si="16"/>
        <v>244759.7728612441</v>
      </c>
      <c r="I73" s="85">
        <f>SUM(B73:H73)</f>
        <v>579130.04314390966</v>
      </c>
      <c r="J73" s="85">
        <f>I73-I72</f>
        <v>-42708.599654802354</v>
      </c>
      <c r="K73" s="83">
        <f>(J73/I72)</f>
        <v>-6.8681160538019259E-2</v>
      </c>
      <c r="L73" s="86">
        <f>K73+1</f>
        <v>0.93131883946198069</v>
      </c>
      <c r="N73">
        <f>A73</f>
        <v>2018</v>
      </c>
      <c r="O73" s="2">
        <f t="shared" si="21"/>
        <v>9532.7138277670056</v>
      </c>
      <c r="P73" s="2"/>
      <c r="R73">
        <f>A73</f>
        <v>2018</v>
      </c>
      <c r="S73" s="2">
        <f>B73-($O73/5)</f>
        <v>115083.23855701322</v>
      </c>
      <c r="T73" s="2"/>
      <c r="U73" s="2">
        <f t="shared" si="70"/>
        <v>81425.707228871659</v>
      </c>
      <c r="V73" s="2">
        <f t="shared" si="70"/>
        <v>53587.039369653598</v>
      </c>
      <c r="W73" s="2"/>
      <c r="X73" s="2">
        <f t="shared" si="71"/>
        <v>76648.114064913447</v>
      </c>
      <c r="Y73" s="2">
        <f t="shared" si="71"/>
        <v>242853.2300956907</v>
      </c>
      <c r="Z73" s="2">
        <f>SUM(S73:Y73)</f>
        <v>569597.3293161426</v>
      </c>
      <c r="AA73" s="2">
        <f>Z73-Z72</f>
        <v>-42914.614781064796</v>
      </c>
      <c r="AB73" s="83">
        <f>(AA73/Z72)</f>
        <v>-7.0063310919295518E-2</v>
      </c>
      <c r="AC73" s="7">
        <f>AB73+1</f>
        <v>0.92993668908070448</v>
      </c>
      <c r="AD73" s="2">
        <f>Z73-(I73-O73)</f>
        <v>0</v>
      </c>
      <c r="AE73" s="2"/>
      <c r="AG73">
        <f>A73</f>
        <v>2018</v>
      </c>
      <c r="AH73" s="6">
        <f>S73/$Z73</f>
        <v>0.2020431498426826</v>
      </c>
      <c r="AI73" s="7"/>
      <c r="AJ73" s="6">
        <f t="shared" si="72"/>
        <v>0.14295310570825745</v>
      </c>
      <c r="AK73" s="6">
        <f t="shared" si="72"/>
        <v>9.407881078724524E-2</v>
      </c>
      <c r="AL73" s="7"/>
      <c r="AM73" s="6">
        <f t="shared" si="73"/>
        <v>0.13456543793303424</v>
      </c>
      <c r="AN73" s="6">
        <f t="shared" si="73"/>
        <v>0.42635949572878051</v>
      </c>
      <c r="AO73" s="6">
        <f>SUM(AH73:AN73)</f>
        <v>1</v>
      </c>
      <c r="AP73" s="7">
        <f>SUM(AH73:AM73)</f>
        <v>0.57364050427121949</v>
      </c>
      <c r="AQ73" s="7">
        <f>AO73-(AP73+AN73)</f>
        <v>0</v>
      </c>
      <c r="AR73" s="24"/>
      <c r="AS73">
        <f>AG73</f>
        <v>2018</v>
      </c>
      <c r="AT73" s="1" t="b">
        <f>AND((S73/$Z73)&gt;0.15,(S73/$Z73)&lt;0.25)</f>
        <v>1</v>
      </c>
      <c r="AV73" s="1" t="b">
        <f t="shared" si="54"/>
        <v>1</v>
      </c>
      <c r="AW73" s="1" t="b">
        <f t="shared" si="55"/>
        <v>1</v>
      </c>
      <c r="AY73" s="1" t="b">
        <f t="shared" si="45"/>
        <v>1</v>
      </c>
      <c r="AZ73" s="1" t="b">
        <f t="shared" si="9"/>
        <v>1</v>
      </c>
      <c r="BA73" s="1" t="b">
        <f>AND((Z73/$Z73)&gt;0.999,(Z73/$Z73)&lt;1.01)</f>
        <v>1</v>
      </c>
      <c r="BC73">
        <f>AS73</f>
        <v>2018</v>
      </c>
      <c r="BD73" s="2">
        <f>$BK73*BD$42</f>
        <v>113919.46586322853</v>
      </c>
      <c r="BE73" s="2"/>
      <c r="BF73" s="2">
        <f t="shared" si="74"/>
        <v>85439.599397421392</v>
      </c>
      <c r="BG73" s="2">
        <f t="shared" si="74"/>
        <v>56959.732931614264</v>
      </c>
      <c r="BH73" s="2"/>
      <c r="BI73" s="2">
        <f t="shared" si="75"/>
        <v>85439.599397421392</v>
      </c>
      <c r="BJ73" s="2">
        <f t="shared" si="75"/>
        <v>227838.93172645706</v>
      </c>
      <c r="BK73" s="2">
        <f>Z73</f>
        <v>569597.3293161426</v>
      </c>
      <c r="BL73" s="2">
        <f>SUM(BD73:BJ73)-Z73</f>
        <v>0</v>
      </c>
      <c r="BM73" s="20"/>
    </row>
    <row r="74" spans="1:65" x14ac:dyDescent="0.2">
      <c r="A74" s="84">
        <f t="shared" ref="A74:A75" si="76">A35</f>
        <v>2019</v>
      </c>
      <c r="B74" s="85">
        <f t="shared" ref="B74:B75" si="77">BD73*(1+(B35/100))</f>
        <v>149753.97304516568</v>
      </c>
      <c r="C74" s="85"/>
      <c r="D74" s="85">
        <f t="shared" ref="D74:E74" si="78">BF73*(1+(D35/100))</f>
        <v>111952.87412403162</v>
      </c>
      <c r="E74" s="85">
        <f t="shared" si="78"/>
        <v>72548.130881940859</v>
      </c>
      <c r="F74" s="85"/>
      <c r="G74" s="85">
        <f t="shared" ref="G74:H74" si="79">BI73*(1+(G35/100))</f>
        <v>103815.94843581878</v>
      </c>
      <c r="H74" s="85">
        <f t="shared" si="79"/>
        <v>247692.81623710052</v>
      </c>
      <c r="I74" s="85">
        <f t="shared" ref="I74:I75" si="80">SUM(B74:H74)</f>
        <v>685763.7427240574</v>
      </c>
      <c r="J74" s="85">
        <f t="shared" ref="J74:J75" si="81">I74-I73</f>
        <v>106633.69958014775</v>
      </c>
      <c r="K74" s="83">
        <f t="shared" ref="K74:K75" si="82">(J74/I73)</f>
        <v>0.18412738355148678</v>
      </c>
      <c r="L74" s="86">
        <f t="shared" ref="L74:L75" si="83">K74+1</f>
        <v>1.1841273835514867</v>
      </c>
      <c r="N74">
        <f t="shared" ref="N74:N75" si="84">A74</f>
        <v>2019</v>
      </c>
      <c r="O74" s="2">
        <f t="shared" ref="O74:O75" si="85">O73*(1+O35)</f>
        <v>9750.6600396149061</v>
      </c>
      <c r="P74" s="2"/>
      <c r="R74">
        <f t="shared" ref="R74:R75" si="86">A74</f>
        <v>2019</v>
      </c>
      <c r="S74" s="2">
        <f t="shared" ref="S74:S75" si="87">B74-($O74/5)</f>
        <v>147803.8410372427</v>
      </c>
      <c r="T74" s="2"/>
      <c r="U74" s="2">
        <f t="shared" ref="U74:U75" si="88">D74-($O74/5)</f>
        <v>110002.74211610864</v>
      </c>
      <c r="V74" s="2">
        <f t="shared" ref="V74:V75" si="89">E74-($O74/5)</f>
        <v>70597.998874017881</v>
      </c>
      <c r="W74" s="2"/>
      <c r="X74" s="2">
        <f t="shared" ref="X74:X75" si="90">G74-($O74/5)</f>
        <v>101865.8164278958</v>
      </c>
      <c r="Y74" s="2">
        <f t="shared" ref="Y74:Y75" si="91">H74-($O74/5)</f>
        <v>245742.68422917754</v>
      </c>
      <c r="Z74" s="2">
        <f t="shared" ref="Z74:Z75" si="92">SUM(S74:Y74)</f>
        <v>676013.08268444252</v>
      </c>
      <c r="AA74" s="2">
        <f t="shared" ref="AA74:AA75" si="93">Z74-Z73</f>
        <v>106415.75336829992</v>
      </c>
      <c r="AB74" s="83">
        <f t="shared" ref="AB74:AB75" si="94">(AA74/Z73)</f>
        <v>0.18682628567809906</v>
      </c>
      <c r="AC74" s="7">
        <f t="shared" ref="AC74:AC75" si="95">AB74+1</f>
        <v>1.1868262856780991</v>
      </c>
      <c r="AD74" s="2">
        <f t="shared" ref="AD74:AD75" si="96">Z74-(I74-O74)</f>
        <v>0</v>
      </c>
      <c r="AE74" s="2"/>
      <c r="AG74">
        <f t="shared" ref="AG74:AG75" si="97">A74</f>
        <v>2019</v>
      </c>
      <c r="AH74" s="6">
        <f t="shared" ref="AH74:AH75" si="98">S74/$Z74</f>
        <v>0.21864050389426612</v>
      </c>
      <c r="AI74" s="7"/>
      <c r="AJ74" s="6">
        <f t="shared" ref="AJ74:AJ75" si="99">U74/$Z74</f>
        <v>0.16272280068795211</v>
      </c>
      <c r="AK74" s="6">
        <f t="shared" ref="AK74:AK75" si="100">V74/$Z74</f>
        <v>0.1044328884785392</v>
      </c>
      <c r="AL74" s="7"/>
      <c r="AM74" s="6">
        <f t="shared" ref="AM74:AM75" si="101">X74/$Z74</f>
        <v>0.15068616131419743</v>
      </c>
      <c r="AN74" s="6">
        <f t="shared" ref="AN74:AN75" si="102">Y74/$Z74</f>
        <v>0.36351764562504518</v>
      </c>
      <c r="AO74" s="6">
        <f t="shared" ref="AO74:AO75" si="103">SUM(AH74:AN74)</f>
        <v>1</v>
      </c>
      <c r="AP74" s="7">
        <f t="shared" ref="AP74:AP75" si="104">SUM(AH74:AM74)</f>
        <v>0.63648235437495493</v>
      </c>
      <c r="AQ74" s="7">
        <f t="shared" ref="AQ74:AQ75" si="105">AO74-(AP74+AN74)</f>
        <v>0</v>
      </c>
      <c r="AR74" s="24"/>
      <c r="AS74">
        <f t="shared" ref="AS74:AS75" si="106">AG74</f>
        <v>2019</v>
      </c>
      <c r="AT74" s="1" t="b">
        <f t="shared" ref="AT74:AT75" si="107">AND((S74/$Z74)&gt;0.15,(S74/$Z74)&lt;0.25)</f>
        <v>1</v>
      </c>
      <c r="AV74" s="1" t="b">
        <f t="shared" si="54"/>
        <v>1</v>
      </c>
      <c r="AW74" s="1" t="b">
        <f t="shared" si="55"/>
        <v>1</v>
      </c>
      <c r="AY74" s="1" t="b">
        <f t="shared" si="45"/>
        <v>1</v>
      </c>
      <c r="AZ74" s="1" t="b">
        <f t="shared" si="9"/>
        <v>1</v>
      </c>
      <c r="BA74" s="1" t="b">
        <f t="shared" ref="BA74:BA75" si="108">AND((Z74/$Z74)&gt;0.999,(Z74/$Z74)&lt;1.01)</f>
        <v>1</v>
      </c>
      <c r="BC74">
        <f t="shared" ref="BC74:BC75" si="109">AS74</f>
        <v>2019</v>
      </c>
      <c r="BD74" s="2">
        <f t="shared" ref="BD74:BD75" si="110">$BK74*BD$42</f>
        <v>135202.6165368885</v>
      </c>
      <c r="BE74" s="2"/>
      <c r="BF74" s="2">
        <f t="shared" si="74"/>
        <v>101401.96240266638</v>
      </c>
      <c r="BG74" s="2">
        <f t="shared" si="74"/>
        <v>67601.308268444249</v>
      </c>
      <c r="BH74" s="2"/>
      <c r="BI74" s="2">
        <f t="shared" si="75"/>
        <v>101401.96240266638</v>
      </c>
      <c r="BJ74" s="2">
        <f t="shared" si="75"/>
        <v>270405.233073777</v>
      </c>
      <c r="BK74" s="2">
        <f t="shared" ref="BK74:BK75" si="111">Z74</f>
        <v>676013.08268444252</v>
      </c>
      <c r="BL74" s="2">
        <f t="shared" ref="BL74:BL75" si="112">SUM(BD74:BJ74)-Z74</f>
        <v>0</v>
      </c>
      <c r="BM74" s="20"/>
    </row>
    <row r="75" spans="1:65" x14ac:dyDescent="0.2">
      <c r="A75" s="84">
        <f t="shared" si="76"/>
        <v>2020</v>
      </c>
      <c r="B75" s="85">
        <f t="shared" si="77"/>
        <v>160039.3371947149</v>
      </c>
      <c r="C75" s="85"/>
      <c r="D75" s="85">
        <f t="shared" ref="D75:E75" si="113">BF74*(1+(D36/100))</f>
        <v>119897.68034491272</v>
      </c>
      <c r="E75" s="85">
        <f t="shared" si="113"/>
        <v>80519.918278543948</v>
      </c>
      <c r="F75" s="85"/>
      <c r="G75" s="85">
        <f t="shared" ref="G75:H75" si="114">BI74*(1+(G36/100))</f>
        <v>112840.10376168715</v>
      </c>
      <c r="H75" s="85">
        <f t="shared" si="114"/>
        <v>291280.51706707256</v>
      </c>
      <c r="I75" s="85">
        <f t="shared" si="80"/>
        <v>764577.55664693133</v>
      </c>
      <c r="J75" s="85">
        <f t="shared" si="81"/>
        <v>78813.813922873931</v>
      </c>
      <c r="K75" s="83">
        <f t="shared" si="82"/>
        <v>0.11492852277345844</v>
      </c>
      <c r="L75" s="86">
        <f t="shared" si="83"/>
        <v>1.1149285227734584</v>
      </c>
      <c r="N75">
        <f t="shared" si="84"/>
        <v>2020</v>
      </c>
      <c r="O75" s="2">
        <f t="shared" si="85"/>
        <v>9861.7013599672828</v>
      </c>
      <c r="P75" s="2"/>
      <c r="R75">
        <f t="shared" si="86"/>
        <v>2020</v>
      </c>
      <c r="S75" s="2">
        <f t="shared" si="87"/>
        <v>158066.99692272145</v>
      </c>
      <c r="T75" s="2"/>
      <c r="U75" s="2">
        <f t="shared" si="88"/>
        <v>117925.34007291927</v>
      </c>
      <c r="V75" s="2">
        <f t="shared" si="89"/>
        <v>78547.578006550495</v>
      </c>
      <c r="W75" s="2"/>
      <c r="X75" s="2">
        <f t="shared" si="90"/>
        <v>110867.76348969369</v>
      </c>
      <c r="Y75" s="2">
        <f t="shared" si="91"/>
        <v>289308.17679507908</v>
      </c>
      <c r="Z75" s="2">
        <f t="shared" si="92"/>
        <v>754715.85528696398</v>
      </c>
      <c r="AA75" s="2">
        <f t="shared" si="93"/>
        <v>78702.772602521465</v>
      </c>
      <c r="AB75" s="83">
        <f t="shared" si="94"/>
        <v>0.11642196670217296</v>
      </c>
      <c r="AC75" s="7">
        <f t="shared" si="95"/>
        <v>1.1164219667021729</v>
      </c>
      <c r="AD75" s="2">
        <f t="shared" si="96"/>
        <v>0</v>
      </c>
      <c r="AE75" s="2"/>
      <c r="AG75">
        <f t="shared" si="97"/>
        <v>2020</v>
      </c>
      <c r="AH75" s="6">
        <f t="shared" si="98"/>
        <v>0.20943908335226372</v>
      </c>
      <c r="AI75" s="7"/>
      <c r="AJ75" s="6">
        <f t="shared" si="99"/>
        <v>0.156251308683691</v>
      </c>
      <c r="AK75" s="6">
        <f t="shared" si="100"/>
        <v>0.10407569611305505</v>
      </c>
      <c r="AL75" s="7"/>
      <c r="AM75" s="6">
        <f t="shared" si="101"/>
        <v>0.14690000576115986</v>
      </c>
      <c r="AN75" s="6">
        <f t="shared" si="102"/>
        <v>0.38333390608983042</v>
      </c>
      <c r="AO75" s="6">
        <f t="shared" si="103"/>
        <v>1</v>
      </c>
      <c r="AP75" s="7">
        <f t="shared" si="104"/>
        <v>0.61666609391016958</v>
      </c>
      <c r="AQ75" s="7">
        <f t="shared" si="105"/>
        <v>0</v>
      </c>
      <c r="AR75" s="24"/>
      <c r="AS75">
        <f t="shared" si="106"/>
        <v>2020</v>
      </c>
      <c r="AT75" s="1" t="b">
        <f t="shared" si="107"/>
        <v>1</v>
      </c>
      <c r="AV75" s="1" t="b">
        <f t="shared" si="54"/>
        <v>1</v>
      </c>
      <c r="AW75" s="1" t="b">
        <f t="shared" si="55"/>
        <v>1</v>
      </c>
      <c r="AY75" s="1" t="b">
        <f t="shared" si="45"/>
        <v>1</v>
      </c>
      <c r="AZ75" s="1" t="b">
        <f t="shared" si="9"/>
        <v>1</v>
      </c>
      <c r="BA75" s="1" t="b">
        <f t="shared" si="108"/>
        <v>1</v>
      </c>
      <c r="BC75">
        <f t="shared" si="109"/>
        <v>2020</v>
      </c>
      <c r="BD75" s="2">
        <f t="shared" si="110"/>
        <v>150943.17105739281</v>
      </c>
      <c r="BE75" s="2"/>
      <c r="BF75" s="2">
        <f t="shared" si="74"/>
        <v>113207.37829304459</v>
      </c>
      <c r="BG75" s="2">
        <f t="shared" si="74"/>
        <v>75471.585528696407</v>
      </c>
      <c r="BH75" s="2"/>
      <c r="BI75" s="2">
        <f t="shared" si="75"/>
        <v>113207.37829304459</v>
      </c>
      <c r="BJ75" s="2">
        <f t="shared" si="75"/>
        <v>301886.34211478563</v>
      </c>
      <c r="BK75" s="2">
        <f t="shared" si="111"/>
        <v>754715.85528696398</v>
      </c>
      <c r="BL75" s="2">
        <f t="shared" si="112"/>
        <v>0</v>
      </c>
      <c r="BM75" s="20"/>
    </row>
    <row r="76" spans="1:65" x14ac:dyDescent="0.2">
      <c r="A76" s="9" t="s">
        <v>94</v>
      </c>
      <c r="B76" s="10">
        <f>BD75</f>
        <v>150943.17105739281</v>
      </c>
      <c r="C76" s="10"/>
      <c r="D76" s="10">
        <f>BF75</f>
        <v>113207.37829304459</v>
      </c>
      <c r="E76" s="10">
        <f>BG75</f>
        <v>75471.585528696407</v>
      </c>
      <c r="F76" s="10"/>
      <c r="G76" s="10">
        <f>BI75</f>
        <v>113207.37829304459</v>
      </c>
      <c r="H76" s="10">
        <f>BJ75</f>
        <v>301886.34211478563</v>
      </c>
      <c r="I76" s="10">
        <f>SUM(B76:H76)</f>
        <v>754715.85528696398</v>
      </c>
      <c r="J76" s="10"/>
      <c r="K76" s="10"/>
      <c r="L76" s="74"/>
      <c r="N76" t="s">
        <v>156</v>
      </c>
      <c r="O76" s="2">
        <f>O73</f>
        <v>9532.7138277670056</v>
      </c>
      <c r="P76" s="2"/>
      <c r="R76" s="9" t="s">
        <v>94</v>
      </c>
      <c r="S76" s="10">
        <f>S75</f>
        <v>158066.99692272145</v>
      </c>
      <c r="T76" s="10"/>
      <c r="U76" s="10">
        <f>U75</f>
        <v>117925.34007291927</v>
      </c>
      <c r="V76" s="10">
        <f>V75</f>
        <v>78547.578006550495</v>
      </c>
      <c r="W76" s="10"/>
      <c r="X76" s="10">
        <f>X75</f>
        <v>110867.76348969369</v>
      </c>
      <c r="Y76" s="10">
        <f>Y75</f>
        <v>289308.17679507908</v>
      </c>
      <c r="Z76" s="10">
        <f>Z75</f>
        <v>754715.85528696398</v>
      </c>
      <c r="AA76" s="10"/>
      <c r="AB76" s="10"/>
      <c r="AC76" s="74"/>
      <c r="AD76" s="10"/>
      <c r="AE76" s="43"/>
      <c r="AG76" s="74" t="s">
        <v>132</v>
      </c>
      <c r="AH76" s="88">
        <f>AH75</f>
        <v>0.20943908335226372</v>
      </c>
      <c r="AI76" s="74"/>
      <c r="AJ76" s="88">
        <f>AJ75</f>
        <v>0.156251308683691</v>
      </c>
      <c r="AK76" s="74"/>
      <c r="AL76" s="74"/>
      <c r="AM76" s="88">
        <f>AM75</f>
        <v>0.14690000576115986</v>
      </c>
      <c r="AN76" s="88">
        <f>AN75</f>
        <v>0.38333390608983042</v>
      </c>
      <c r="AO76" s="88">
        <f>AO75</f>
        <v>1</v>
      </c>
      <c r="AP76" s="88">
        <f>AP75</f>
        <v>0.61666609391016958</v>
      </c>
      <c r="AQ76" s="88">
        <f>AQ75</f>
        <v>0</v>
      </c>
      <c r="BC76" s="21"/>
      <c r="BD76" s="22"/>
      <c r="BF76" s="22"/>
      <c r="BG76" s="22"/>
      <c r="BI76" s="22"/>
      <c r="BJ76" s="22"/>
    </row>
    <row r="77" spans="1:65" x14ac:dyDescent="0.2">
      <c r="A77" s="11" t="s">
        <v>157</v>
      </c>
      <c r="I77" s="6">
        <f>(Z76-Z42)/Z42</f>
        <v>6.5471585528696394</v>
      </c>
      <c r="K77" s="6"/>
      <c r="N77" t="s">
        <v>67</v>
      </c>
      <c r="O77" s="2">
        <f>SUM(O43:O75)</f>
        <v>240299.09094661573</v>
      </c>
      <c r="P77" s="2"/>
      <c r="AB77" s="6"/>
      <c r="AJ77" s="7"/>
      <c r="BF77" s="22"/>
    </row>
    <row r="78" spans="1:65" x14ac:dyDescent="0.2">
      <c r="A78" s="1" t="s">
        <v>158</v>
      </c>
      <c r="I78" s="12">
        <f>STDEV(AC43:AC75)</f>
        <v>0.10164369458600014</v>
      </c>
      <c r="AK78" s="89"/>
      <c r="AL78" s="89"/>
      <c r="AM78" s="90" t="s">
        <v>134</v>
      </c>
      <c r="AN78" s="89" t="b">
        <f>IF((AN75=AN76),TRUE,FALSE)</f>
        <v>1</v>
      </c>
      <c r="AO78" s="89"/>
      <c r="AP78" s="91" t="b">
        <f>IF(((SUM(AH75:AM75))=AP76),TRUE,FALSE)</f>
        <v>1</v>
      </c>
    </row>
    <row r="79" spans="1:65" x14ac:dyDescent="0.2">
      <c r="A79" s="1" t="s">
        <v>159</v>
      </c>
      <c r="I79" s="13">
        <f>((1+I77)^(1/I86))-1</f>
        <v>6.3162131554053591E-2</v>
      </c>
    </row>
    <row r="80" spans="1:65" x14ac:dyDescent="0.2">
      <c r="A80" s="1" t="s">
        <v>98</v>
      </c>
      <c r="I80" s="31">
        <f>J63</f>
        <v>-94788.155713741784</v>
      </c>
      <c r="O80" s="2"/>
      <c r="P80" s="2"/>
    </row>
    <row r="81" spans="1:26" x14ac:dyDescent="0.2">
      <c r="A81" s="1" t="s">
        <v>136</v>
      </c>
      <c r="I81" s="32">
        <f>K63</f>
        <v>-0.23419068766314199</v>
      </c>
    </row>
    <row r="82" spans="1:26" x14ac:dyDescent="0.2">
      <c r="A82" s="1" t="s">
        <v>103</v>
      </c>
      <c r="I82" s="2">
        <f>O77</f>
        <v>240299.09094661573</v>
      </c>
    </row>
    <row r="83" spans="1:26" x14ac:dyDescent="0.2">
      <c r="A83" s="3" t="s">
        <v>165</v>
      </c>
      <c r="B83" s="3"/>
      <c r="C83" s="3"/>
      <c r="D83" s="3"/>
      <c r="E83" s="3"/>
      <c r="F83" s="3"/>
      <c r="G83" s="3"/>
      <c r="H83" s="3"/>
      <c r="I83" s="33">
        <f>I76-Z76</f>
        <v>0</v>
      </c>
      <c r="Z83" s="2"/>
    </row>
    <row r="84" spans="1:26" x14ac:dyDescent="0.2">
      <c r="A84" s="3" t="s">
        <v>138</v>
      </c>
      <c r="B84" s="3"/>
      <c r="C84" s="3"/>
      <c r="D84" s="3"/>
      <c r="E84" s="3"/>
      <c r="F84" s="3"/>
      <c r="G84" s="3"/>
      <c r="H84" s="3"/>
      <c r="I84" s="33">
        <f>((SUM(AA43:AA75)))-(I76-I42)</f>
        <v>0</v>
      </c>
    </row>
    <row r="85" spans="1:26" x14ac:dyDescent="0.2">
      <c r="A85" s="3" t="s">
        <v>160</v>
      </c>
      <c r="B85" s="3"/>
      <c r="C85" s="3"/>
      <c r="D85" s="3"/>
      <c r="E85" s="3"/>
      <c r="F85" s="3"/>
      <c r="G85" s="3"/>
      <c r="H85" s="3"/>
      <c r="I85" s="33">
        <f>(SUM(O43:O75))-I82</f>
        <v>0</v>
      </c>
      <c r="Z85" s="73"/>
    </row>
    <row r="86" spans="1:26" x14ac:dyDescent="0.2">
      <c r="A86" s="3" t="s">
        <v>139</v>
      </c>
      <c r="B86" s="3"/>
      <c r="C86" s="3"/>
      <c r="D86" s="3"/>
      <c r="E86" s="3"/>
      <c r="F86" s="3"/>
      <c r="G86" s="3"/>
      <c r="H86" s="3"/>
      <c r="I86" s="75">
        <f>COUNTA(I43:I75)</f>
        <v>33</v>
      </c>
    </row>
    <row r="87" spans="1:26" x14ac:dyDescent="0.2">
      <c r="A87" s="95" t="s">
        <v>100</v>
      </c>
      <c r="B87" s="63"/>
      <c r="C87" s="63"/>
      <c r="D87" s="63"/>
      <c r="E87" s="63"/>
      <c r="G87" s="63"/>
      <c r="H87" s="63"/>
      <c r="I87" s="94">
        <f>AP76</f>
        <v>0.61666609391016958</v>
      </c>
    </row>
    <row r="88" spans="1:26" x14ac:dyDescent="0.2">
      <c r="A88" s="95" t="s">
        <v>179</v>
      </c>
      <c r="B88" s="2"/>
      <c r="D88" s="2"/>
      <c r="E88" s="2"/>
      <c r="G88" s="2"/>
      <c r="H88" s="2"/>
      <c r="I88" s="94">
        <f>AN76</f>
        <v>0.38333390608983042</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87"/>
  <sheetViews>
    <sheetView topLeftCell="W35" zoomScaleNormal="100" workbookViewId="0">
      <selection activeCell="AI41" sqref="AI41"/>
    </sheetView>
  </sheetViews>
  <sheetFormatPr baseColWidth="10" defaultColWidth="8.83203125" defaultRowHeight="15" x14ac:dyDescent="0.2"/>
  <cols>
    <col min="1" max="1" width="25.5" customWidth="1"/>
    <col min="2" max="4" width="9.33203125" bestFit="1" customWidth="1"/>
    <col min="7" max="7" width="9.83203125" bestFit="1" customWidth="1"/>
    <col min="8" max="8" width="9.33203125" bestFit="1"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5" max="25" width="9.33203125" bestFit="1" customWidth="1"/>
    <col min="26" max="26" width="10.83203125" bestFit="1" customWidth="1"/>
    <col min="27" max="31" width="10.83203125" customWidth="1"/>
    <col min="46" max="46" width="10.83203125" bestFit="1" customWidth="1"/>
    <col min="47" max="48" width="9.33203125" bestFit="1" customWidth="1"/>
    <col min="51" max="51" width="9.83203125" bestFit="1" customWidth="1"/>
    <col min="52" max="5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86"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86"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5" spans="1:86"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'4.5% Withdrawals-No Rebalancing'!N35</f>
        <v>2019</v>
      </c>
      <c r="O35" s="50">
        <f>'4.5% Withdrawals-No Rebalancing'!O35</f>
        <v>2.2862976460393248E-2</v>
      </c>
    </row>
    <row r="36" spans="1:86"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c r="N36" s="49">
        <f>'4.5% Withdrawals-No Rebalancing'!N36</f>
        <v>2020</v>
      </c>
      <c r="O36" s="50">
        <f>'4.5% Withdrawals-No Rebalancing'!O36</f>
        <v>1.1388082437623485E-2</v>
      </c>
    </row>
    <row r="38" spans="1:86" x14ac:dyDescent="0.2">
      <c r="A38" s="20" t="s">
        <v>148</v>
      </c>
      <c r="N38" s="20" t="s">
        <v>153</v>
      </c>
      <c r="R38" s="20" t="s">
        <v>170</v>
      </c>
      <c r="AG38" s="20" t="s">
        <v>171</v>
      </c>
      <c r="AR38" s="1"/>
      <c r="AS38" s="20" t="s">
        <v>172</v>
      </c>
      <c r="BL38" s="20" t="s">
        <v>163</v>
      </c>
    </row>
    <row r="39" spans="1:86" x14ac:dyDescent="0.2">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121</v>
      </c>
      <c r="K39" s="5" t="s">
        <v>122</v>
      </c>
      <c r="L39" s="5" t="s">
        <v>123</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121</v>
      </c>
      <c r="AB39" s="5" t="s">
        <v>122</v>
      </c>
      <c r="AC39" s="5" t="s">
        <v>123</v>
      </c>
      <c r="AD39" s="5" t="s">
        <v>144</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124</v>
      </c>
      <c r="AQ39" s="5" t="s">
        <v>125</v>
      </c>
      <c r="AR39" s="71"/>
      <c r="AT39" s="4" t="str">
        <f t="shared" ref="AT39:AZ41" si="3">BO39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4"/>
      <c r="BB39" t="s">
        <v>144</v>
      </c>
      <c r="BO39" s="4" t="str">
        <f t="shared" ref="BO39:BU41" si="4">AH39</f>
        <v>LC Stocks</v>
      </c>
      <c r="BP39" s="4" t="str">
        <f t="shared" si="4"/>
        <v>Ext Mkt</v>
      </c>
      <c r="BQ39" s="4" t="str">
        <f t="shared" si="4"/>
        <v>Mcap Stk</v>
      </c>
      <c r="BR39" s="4" t="str">
        <f t="shared" si="4"/>
        <v>Small Cap</v>
      </c>
      <c r="BS39" s="4" t="str">
        <f t="shared" si="4"/>
        <v>Intl Val</v>
      </c>
      <c r="BT39" s="4" t="str">
        <f t="shared" si="4"/>
        <v>Tot Int Stk</v>
      </c>
      <c r="BU39" s="4" t="str">
        <f t="shared" si="4"/>
        <v>Bonds</v>
      </c>
      <c r="BV39" s="5"/>
    </row>
    <row r="40" spans="1:86" x14ac:dyDescent="0.2">
      <c r="A40" t="s">
        <v>126</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67</v>
      </c>
      <c r="J40" s="5" t="s">
        <v>127</v>
      </c>
      <c r="K40" s="5" t="s">
        <v>128</v>
      </c>
      <c r="L40" s="5" t="s">
        <v>128</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127</v>
      </c>
      <c r="AB40" s="5" t="s">
        <v>128</v>
      </c>
      <c r="AC40" s="5" t="s">
        <v>128</v>
      </c>
      <c r="AD40" s="5" t="s">
        <v>129</v>
      </c>
      <c r="AE40" s="5"/>
      <c r="AG40" t="s">
        <v>126</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67</v>
      </c>
      <c r="AP40" s="5" t="s">
        <v>125</v>
      </c>
      <c r="AQ40" s="5" t="s">
        <v>129</v>
      </c>
      <c r="AR40" s="71"/>
      <c r="AS40" t="s">
        <v>126</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BV40</f>
        <v>Total</v>
      </c>
      <c r="BB40" t="s">
        <v>129</v>
      </c>
      <c r="BN40" t="str">
        <f t="shared" ref="BN40:BN68" si="5">AG40</f>
        <v>Fund</v>
      </c>
      <c r="BO40" s="4" t="str">
        <f t="shared" si="4"/>
        <v>VFIAX</v>
      </c>
      <c r="BP40" s="4" t="str">
        <f t="shared" si="4"/>
        <v>VEXMX</v>
      </c>
      <c r="BQ40" s="4" t="str">
        <f t="shared" si="4"/>
        <v>VIMAX</v>
      </c>
      <c r="BR40" s="4" t="str">
        <f t="shared" si="4"/>
        <v>VSMAX</v>
      </c>
      <c r="BS40" s="4" t="str">
        <f t="shared" si="4"/>
        <v>VTRIX</v>
      </c>
      <c r="BT40" s="4" t="str">
        <f t="shared" si="4"/>
        <v>VTIAX</v>
      </c>
      <c r="BU40" s="4" t="str">
        <f t="shared" si="4"/>
        <v>VBTLX</v>
      </c>
      <c r="BV40" s="4" t="str">
        <f>AO40</f>
        <v>Total</v>
      </c>
    </row>
    <row r="41" spans="1:86" x14ac:dyDescent="0.2">
      <c r="A41" t="s">
        <v>130</v>
      </c>
      <c r="B41" s="2">
        <f>'Non-Rebalanced Portfolio'!B42</f>
        <v>20000</v>
      </c>
      <c r="C41" s="2">
        <f>'Non-Rebalanced Portfolio'!C42</f>
        <v>25000</v>
      </c>
      <c r="F41" s="2">
        <f>'Non-Rebalanced Portfolio'!F42</f>
        <v>15000</v>
      </c>
      <c r="H41" s="2">
        <f>'Non-Rebalanced Portfolio'!H42</f>
        <v>40000</v>
      </c>
      <c r="I41" s="2">
        <f>SUM(B41:H41)</f>
        <v>100000</v>
      </c>
      <c r="N41" s="21"/>
      <c r="R41" t="str">
        <f>A41</f>
        <v>Stating Balance</v>
      </c>
      <c r="S41" s="2">
        <f>B41</f>
        <v>20000</v>
      </c>
      <c r="T41" s="2">
        <f t="shared" si="1"/>
        <v>25000</v>
      </c>
      <c r="U41" s="2">
        <f t="shared" si="1"/>
        <v>0</v>
      </c>
      <c r="V41" s="2">
        <f t="shared" si="1"/>
        <v>0</v>
      </c>
      <c r="W41" s="2">
        <f t="shared" si="1"/>
        <v>15000</v>
      </c>
      <c r="X41" s="2">
        <f t="shared" si="1"/>
        <v>0</v>
      </c>
      <c r="Y41" s="2">
        <f t="shared" si="1"/>
        <v>40000</v>
      </c>
      <c r="Z41" s="2">
        <f t="shared" si="1"/>
        <v>100000</v>
      </c>
      <c r="AD41" s="2"/>
      <c r="AE41" s="2"/>
      <c r="AG41" s="21" t="s">
        <v>131</v>
      </c>
      <c r="AH41" s="6">
        <f>'Rebalanced Portfolio'!AM42</f>
        <v>0.2</v>
      </c>
      <c r="AI41" s="6">
        <f>'Rebalanced Portfolio'!AN42</f>
        <v>0.25</v>
      </c>
      <c r="AJ41" s="6">
        <f>'Rebalanced Portfolio'!AO42</f>
        <v>0.15</v>
      </c>
      <c r="AK41" s="6">
        <f>'Rebalanced Portfolio'!AP42</f>
        <v>0.1</v>
      </c>
      <c r="AL41" s="6">
        <f>'Rebalanced Portfolio'!AQ42</f>
        <v>0.15</v>
      </c>
      <c r="AM41" s="6">
        <f>'Rebalanced Portfolio'!AR42</f>
        <v>0.15</v>
      </c>
      <c r="AN41" s="6">
        <f>'Rebalanced Portfolio'!AS42</f>
        <v>0.4</v>
      </c>
      <c r="AO41" s="6">
        <f>Z41/$Z41</f>
        <v>1</v>
      </c>
      <c r="AP41" s="24"/>
      <c r="AS41" s="21" t="str">
        <f>R41</f>
        <v>Stating Balance</v>
      </c>
      <c r="AT41" s="24">
        <f t="shared" si="3"/>
        <v>0.2</v>
      </c>
      <c r="AU41" s="24">
        <f t="shared" si="3"/>
        <v>0.25</v>
      </c>
      <c r="AV41" s="25">
        <f t="shared" si="3"/>
        <v>0.15</v>
      </c>
      <c r="AW41" s="25">
        <f t="shared" si="3"/>
        <v>0.1</v>
      </c>
      <c r="AX41" s="24">
        <f t="shared" si="3"/>
        <v>0.15</v>
      </c>
      <c r="AY41" s="25">
        <f t="shared" si="3"/>
        <v>0.15</v>
      </c>
      <c r="AZ41" s="24">
        <f t="shared" si="3"/>
        <v>0.4</v>
      </c>
      <c r="BA41" s="24">
        <f>BV41</f>
        <v>1</v>
      </c>
      <c r="BB41" s="2"/>
      <c r="BC41" s="2"/>
      <c r="BM41" s="24"/>
      <c r="BN41" s="21" t="str">
        <f t="shared" si="5"/>
        <v>Target Allocation</v>
      </c>
      <c r="BO41" s="24">
        <f t="shared" si="4"/>
        <v>0.2</v>
      </c>
      <c r="BP41" s="24">
        <f t="shared" si="4"/>
        <v>0.25</v>
      </c>
      <c r="BQ41" s="25">
        <f t="shared" si="4"/>
        <v>0.15</v>
      </c>
      <c r="BR41" s="25">
        <f t="shared" si="4"/>
        <v>0.1</v>
      </c>
      <c r="BS41" s="24">
        <f t="shared" si="4"/>
        <v>0.15</v>
      </c>
      <c r="BT41" s="25">
        <f t="shared" si="4"/>
        <v>0.15</v>
      </c>
      <c r="BU41" s="24">
        <f t="shared" si="4"/>
        <v>0.4</v>
      </c>
      <c r="BV41" s="24">
        <f>AO41</f>
        <v>1</v>
      </c>
    </row>
    <row r="42" spans="1:86" x14ac:dyDescent="0.2">
      <c r="A42">
        <f t="shared" ref="A42:A72" si="6">A4</f>
        <v>1988</v>
      </c>
      <c r="B42" s="2">
        <f t="shared" ref="B42:C42" si="7">B41*(1+(B4/100))</f>
        <v>23243.999999999996</v>
      </c>
      <c r="C42" s="2">
        <f t="shared" si="7"/>
        <v>29936.75</v>
      </c>
      <c r="D42" s="2"/>
      <c r="E42" s="2"/>
      <c r="F42" s="2">
        <f t="shared" ref="F42" si="8">F41*(1+(F4/100))</f>
        <v>17816.7</v>
      </c>
      <c r="G42" s="2"/>
      <c r="H42" s="2">
        <f t="shared" ref="H42" si="9">H41*(1+(H4/100))</f>
        <v>42939.999999999993</v>
      </c>
      <c r="I42" s="2">
        <f>SUM(B42:H42)</f>
        <v>113937.44999999998</v>
      </c>
      <c r="J42" s="2">
        <f>I42-I41</f>
        <v>13937.449999999983</v>
      </c>
      <c r="K42" s="83">
        <f>(J42/I41)</f>
        <v>0.13937449999999982</v>
      </c>
      <c r="L42" s="7">
        <f>K42+1</f>
        <v>1.1393744999999997</v>
      </c>
      <c r="N42">
        <f>A42</f>
        <v>1988</v>
      </c>
      <c r="O42" s="2">
        <f>I42*0.045</f>
        <v>5127.1852499999986</v>
      </c>
      <c r="P42" s="2"/>
      <c r="Q42" s="2"/>
      <c r="R42">
        <f>A42</f>
        <v>1988</v>
      </c>
      <c r="S42" s="2">
        <f>B42-($O42/4)</f>
        <v>21962.203687499998</v>
      </c>
      <c r="T42" s="2">
        <f>C42-($O42/4)</f>
        <v>28654.953687500001</v>
      </c>
      <c r="U42" s="2"/>
      <c r="V42" s="2"/>
      <c r="W42" s="2">
        <f t="shared" ref="W42:W50" si="10">F42-($O42/4)</f>
        <v>16534.903687500002</v>
      </c>
      <c r="X42" s="2"/>
      <c r="Y42" s="2">
        <f>H42-($O42/4)</f>
        <v>41658.20368749999</v>
      </c>
      <c r="Z42" s="2">
        <f>SUM(S42:Y42)</f>
        <v>108810.26474999999</v>
      </c>
      <c r="AA42" s="2">
        <f>Z42-Z41</f>
        <v>8810.2647499999875</v>
      </c>
      <c r="AB42" s="83">
        <f>(AA42/Z41)</f>
        <v>8.8102647499999881E-2</v>
      </c>
      <c r="AC42" s="7">
        <f>AB42+1</f>
        <v>1.0881026475</v>
      </c>
      <c r="AD42" s="2">
        <f>Z42-(I42-O42)</f>
        <v>0</v>
      </c>
      <c r="AE42" s="2"/>
      <c r="AG42">
        <f t="shared" ref="AG42:AG71" si="11">A42</f>
        <v>1988</v>
      </c>
      <c r="AH42" s="6">
        <f t="shared" ref="AH42:AI56" si="12">S42/$Z42</f>
        <v>0.20183944720619751</v>
      </c>
      <c r="AI42" s="6">
        <f t="shared" si="12"/>
        <v>0.263347890507729</v>
      </c>
      <c r="AJ42" s="7"/>
      <c r="AK42" s="7"/>
      <c r="AL42" s="6">
        <f t="shared" ref="AL42:AM56" si="13">W42/$Z42</f>
        <v>0.15196088094712593</v>
      </c>
      <c r="AM42" s="7"/>
      <c r="AN42" s="6">
        <f t="shared" ref="AN42:AN71" si="14">Y42/$Z42</f>
        <v>0.38285178133894759</v>
      </c>
      <c r="AO42" s="6">
        <f>SUM(AH42:AN42)</f>
        <v>1</v>
      </c>
      <c r="AP42" s="7">
        <f>SUM(AH42:AM42)</f>
        <v>0.61714821866105241</v>
      </c>
      <c r="AQ42" s="7">
        <f>AO42-(AP42+AN42)</f>
        <v>0</v>
      </c>
      <c r="AR42" s="7"/>
      <c r="AS42">
        <f>A42</f>
        <v>1988</v>
      </c>
      <c r="AT42" s="2">
        <f t="shared" ref="AT42:AU52" si="15">S42</f>
        <v>21962.203687499998</v>
      </c>
      <c r="AU42" s="2">
        <f t="shared" si="15"/>
        <v>28654.953687500001</v>
      </c>
      <c r="AV42" s="2"/>
      <c r="AW42" s="2"/>
      <c r="AX42" s="2">
        <f t="shared" ref="AX42:AX50" si="16">W42</f>
        <v>16534.903687500002</v>
      </c>
      <c r="AY42" s="2"/>
      <c r="AZ42" s="2">
        <f t="shared" ref="AZ42:BA57" si="17">Y42</f>
        <v>41658.20368749999</v>
      </c>
      <c r="BA42" s="2">
        <f t="shared" si="17"/>
        <v>108810.26474999999</v>
      </c>
      <c r="BB42" s="2">
        <f t="shared" ref="BB42:BB64" si="18">SUM(AT42:AZ42)-Z42</f>
        <v>0</v>
      </c>
      <c r="BC42" s="2"/>
      <c r="BM42" s="24"/>
      <c r="BN42">
        <f t="shared" si="5"/>
        <v>1988</v>
      </c>
      <c r="BO42" s="1" t="b">
        <f>AND((S42/$Z42)&gt;0.15,(S42/$Z42)&lt;0.25)</f>
        <v>1</v>
      </c>
      <c r="BP42" s="1" t="b">
        <f>AND((T42/$Z42)&gt;0.25,(T42/$Z42)&lt;0.35)</f>
        <v>1</v>
      </c>
      <c r="BS42" s="1" t="b">
        <f t="shared" ref="BS42:BS50" si="19">AND((W42/$Z42)&gt;0.15,(W42/$Z42)&lt;0.25)</f>
        <v>1</v>
      </c>
      <c r="BU42" s="1" t="b">
        <f>AND((Y42/$Z42)&gt;0.25,(Y42/$Z42)&lt;0.35)</f>
        <v>0</v>
      </c>
      <c r="BV42" s="1" t="b">
        <f>AND((Z42/$Z42)&gt;0.999,(Z42/$Z42)&lt;1.01)</f>
        <v>1</v>
      </c>
      <c r="CH42" s="2"/>
    </row>
    <row r="43" spans="1:86" x14ac:dyDescent="0.2">
      <c r="A43">
        <f t="shared" si="6"/>
        <v>1989</v>
      </c>
      <c r="B43" s="2">
        <f t="shared" ref="B43:B52" si="20">AT42*(1+(B5/100))</f>
        <v>28849.550763899999</v>
      </c>
      <c r="C43" s="2">
        <f t="shared" ref="C43:C52" si="21">AU42*(1+(C5/100))</f>
        <v>35559.651328040003</v>
      </c>
      <c r="D43" s="2"/>
      <c r="E43" s="2"/>
      <c r="F43" s="2">
        <f t="shared" ref="F43:F50" si="22">AX42*(1+(F5/100))</f>
        <v>20829.183524180629</v>
      </c>
      <c r="G43" s="2"/>
      <c r="H43" s="2">
        <f t="shared" ref="H43:H72" si="23">AZ42*(1+(H5/100))</f>
        <v>47340.382670474995</v>
      </c>
      <c r="I43" s="2">
        <f>SUM(B43:H43)</f>
        <v>132578.76828659564</v>
      </c>
      <c r="J43" s="2">
        <f t="shared" ref="J43:J71" si="24">I43-I42</f>
        <v>18641.318286595662</v>
      </c>
      <c r="K43" s="83">
        <f t="shared" ref="K43:K71" si="25">(J43/I42)</f>
        <v>0.16361010612924604</v>
      </c>
      <c r="L43" s="7">
        <f t="shared" ref="L43:L71" si="26">K43+1</f>
        <v>1.1636101061292461</v>
      </c>
      <c r="N43">
        <f t="shared" ref="N43:N71" si="27">A43</f>
        <v>1989</v>
      </c>
      <c r="O43" s="2">
        <f t="shared" ref="O43:O72" si="28">O42*(1+O5)</f>
        <v>5363.0357714999991</v>
      </c>
      <c r="P43" s="2"/>
      <c r="Q43" s="2"/>
      <c r="R43">
        <f t="shared" ref="R43:R71" si="29">A43</f>
        <v>1989</v>
      </c>
      <c r="S43" s="2">
        <f>B43-($O43/4)</f>
        <v>27508.791821024999</v>
      </c>
      <c r="T43" s="2">
        <f>C43-($O43/4)</f>
        <v>34218.892385165003</v>
      </c>
      <c r="U43" s="2"/>
      <c r="V43" s="2"/>
      <c r="W43" s="2">
        <f t="shared" si="10"/>
        <v>19488.42458130563</v>
      </c>
      <c r="X43" s="2"/>
      <c r="Y43" s="2">
        <f>H43-($O43/4)</f>
        <v>45999.623727599996</v>
      </c>
      <c r="Z43" s="2">
        <f>SUM(S43:Y43)</f>
        <v>127215.73251509562</v>
      </c>
      <c r="AA43" s="2">
        <f t="shared" ref="AA43:AA57" si="30">Z43-Z42</f>
        <v>18405.467765095629</v>
      </c>
      <c r="AB43" s="83">
        <f t="shared" ref="AB43:AB57" si="31">(AA43/Z42)</f>
        <v>0.16915194359083324</v>
      </c>
      <c r="AC43" s="7">
        <f t="shared" ref="AC43:AC71" si="32">AB43+1</f>
        <v>1.1691519435908333</v>
      </c>
      <c r="AD43" s="2">
        <f>Z43-(I43-O43)</f>
        <v>0</v>
      </c>
      <c r="AE43" s="2"/>
      <c r="AG43">
        <f t="shared" si="11"/>
        <v>1989</v>
      </c>
      <c r="AH43" s="6">
        <f t="shared" si="12"/>
        <v>0.21623734169640349</v>
      </c>
      <c r="AI43" s="6">
        <f t="shared" si="12"/>
        <v>0.26898318084286105</v>
      </c>
      <c r="AJ43" s="7"/>
      <c r="AK43" s="7"/>
      <c r="AL43" s="6">
        <f t="shared" si="13"/>
        <v>0.15319193778955839</v>
      </c>
      <c r="AM43" s="7"/>
      <c r="AN43" s="6">
        <f t="shared" si="14"/>
        <v>0.36158753967117713</v>
      </c>
      <c r="AO43" s="6">
        <f t="shared" ref="AO43:AO71" si="33">SUM(AH43:AN43)</f>
        <v>1</v>
      </c>
      <c r="AP43" s="7">
        <f t="shared" ref="AP43:AP71" si="34">SUM(AH43:AM43)</f>
        <v>0.63841246032882293</v>
      </c>
      <c r="AQ43" s="7">
        <f t="shared" ref="AQ43:AQ71" si="35">AO43-(AP43+AN43)</f>
        <v>0</v>
      </c>
      <c r="AR43" s="7"/>
      <c r="AS43">
        <f t="shared" ref="AS43:AS71" si="36">A43</f>
        <v>1989</v>
      </c>
      <c r="AT43" s="2">
        <f t="shared" si="15"/>
        <v>27508.791821024999</v>
      </c>
      <c r="AU43" s="2">
        <f t="shared" si="15"/>
        <v>34218.892385165003</v>
      </c>
      <c r="AV43" s="2"/>
      <c r="AW43" s="2"/>
      <c r="AX43" s="2">
        <f t="shared" si="16"/>
        <v>19488.42458130563</v>
      </c>
      <c r="AY43" s="2"/>
      <c r="AZ43" s="2">
        <f t="shared" si="17"/>
        <v>45999.623727599996</v>
      </c>
      <c r="BA43" s="2">
        <f t="shared" si="17"/>
        <v>127215.73251509562</v>
      </c>
      <c r="BB43" s="2">
        <f t="shared" si="18"/>
        <v>0</v>
      </c>
      <c r="BC43" s="2"/>
      <c r="BM43" s="24"/>
      <c r="BN43">
        <f t="shared" si="5"/>
        <v>1989</v>
      </c>
      <c r="BO43" s="1" t="b">
        <f t="shared" ref="BO43:BO68" si="37">AND((S43/$Z43)&gt;0.15,(S43/$Z43)&lt;0.25)</f>
        <v>1</v>
      </c>
      <c r="BP43" s="1" t="b">
        <f t="shared" ref="BP43:BP52" si="38">AND((T43/$Z43)&gt;0.25,(T43/$Z43)&lt;0.35)</f>
        <v>1</v>
      </c>
      <c r="BS43" s="1" t="b">
        <f t="shared" si="19"/>
        <v>1</v>
      </c>
      <c r="BU43" s="1" t="b">
        <f t="shared" ref="BU43:BU68" si="39">AND((Y43/$Z43)&gt;0.25,(Y43/$Z43)&lt;0.35)</f>
        <v>0</v>
      </c>
      <c r="BV43" s="1" t="b">
        <f t="shared" ref="BV43:BV68" si="40">AND((Z43/$Z43)&gt;0.999,(Z43/$Z43)&lt;1.01)</f>
        <v>1</v>
      </c>
      <c r="CH43" s="2"/>
    </row>
    <row r="44" spans="1:86" x14ac:dyDescent="0.2">
      <c r="A44">
        <f t="shared" si="6"/>
        <v>1990</v>
      </c>
      <c r="B44" s="2">
        <f t="shared" si="20"/>
        <v>26595.499932566971</v>
      </c>
      <c r="C44" s="2">
        <f t="shared" si="21"/>
        <v>29412.84894966858</v>
      </c>
      <c r="D44" s="2"/>
      <c r="E44" s="2"/>
      <c r="F44" s="2">
        <f t="shared" si="22"/>
        <v>17099.143727637558</v>
      </c>
      <c r="G44" s="2"/>
      <c r="H44" s="2">
        <f t="shared" si="23"/>
        <v>49978.591180037394</v>
      </c>
      <c r="I44" s="2">
        <f t="shared" ref="I44:I66" si="41">SUM(B44:H44)</f>
        <v>123086.08378991051</v>
      </c>
      <c r="J44" s="2">
        <f t="shared" si="24"/>
        <v>-9492.6844966851349</v>
      </c>
      <c r="K44" s="83">
        <f t="shared" si="25"/>
        <v>-7.1600337062754954E-2</v>
      </c>
      <c r="L44" s="7">
        <f t="shared" si="26"/>
        <v>0.92839966293724507</v>
      </c>
      <c r="N44">
        <f t="shared" si="27"/>
        <v>1990</v>
      </c>
      <c r="O44" s="2">
        <f t="shared" si="28"/>
        <v>5700.9070251044986</v>
      </c>
      <c r="P44" s="2"/>
      <c r="Q44" s="2"/>
      <c r="R44">
        <f t="shared" si="29"/>
        <v>1990</v>
      </c>
      <c r="S44" s="2">
        <f t="shared" ref="S44:T51" si="42">B44-($O44/4)</f>
        <v>25170.273176290844</v>
      </c>
      <c r="T44" s="2">
        <f t="shared" si="42"/>
        <v>27987.622193392453</v>
      </c>
      <c r="U44" s="2"/>
      <c r="V44" s="2"/>
      <c r="W44" s="2">
        <f t="shared" si="10"/>
        <v>15673.916971361434</v>
      </c>
      <c r="X44" s="2"/>
      <c r="Y44" s="2">
        <f t="shared" ref="Y44:Y51" si="43">H44-($O44/4)</f>
        <v>48553.364423761268</v>
      </c>
      <c r="Z44" s="2">
        <f t="shared" ref="Z44:Z71" si="44">SUM(S44:Y44)</f>
        <v>117385.176764806</v>
      </c>
      <c r="AA44" s="2">
        <f t="shared" si="30"/>
        <v>-9830.5557502896118</v>
      </c>
      <c r="AB44" s="83">
        <f t="shared" si="31"/>
        <v>-7.7274685732152681E-2</v>
      </c>
      <c r="AC44" s="7">
        <f t="shared" si="32"/>
        <v>0.92272531426784732</v>
      </c>
      <c r="AD44" s="2">
        <f t="shared" ref="AD44:AD71" si="45">Z44-(I44-O44)</f>
        <v>0</v>
      </c>
      <c r="AE44" s="2"/>
      <c r="AG44">
        <f t="shared" si="11"/>
        <v>1990</v>
      </c>
      <c r="AH44" s="6">
        <f t="shared" si="12"/>
        <v>0.21442463069014436</v>
      </c>
      <c r="AI44" s="6">
        <f t="shared" si="12"/>
        <v>0.23842552326235114</v>
      </c>
      <c r="AJ44" s="7"/>
      <c r="AK44" s="7"/>
      <c r="AL44" s="6">
        <f t="shared" si="13"/>
        <v>0.13352552173402468</v>
      </c>
      <c r="AM44" s="7"/>
      <c r="AN44" s="6">
        <f t="shared" si="14"/>
        <v>0.41362432431347979</v>
      </c>
      <c r="AO44" s="6">
        <f t="shared" si="33"/>
        <v>1</v>
      </c>
      <c r="AP44" s="7">
        <f t="shared" si="34"/>
        <v>0.58637567568652016</v>
      </c>
      <c r="AQ44" s="7">
        <f t="shared" si="35"/>
        <v>0</v>
      </c>
      <c r="AR44" s="7"/>
      <c r="AS44">
        <f t="shared" si="36"/>
        <v>1990</v>
      </c>
      <c r="AT44" s="2">
        <f t="shared" si="15"/>
        <v>25170.273176290844</v>
      </c>
      <c r="AU44" s="2">
        <f t="shared" si="15"/>
        <v>27987.622193392453</v>
      </c>
      <c r="AV44" s="2"/>
      <c r="AW44" s="2"/>
      <c r="AX44" s="2">
        <f t="shared" si="16"/>
        <v>15673.916971361434</v>
      </c>
      <c r="AY44" s="2"/>
      <c r="AZ44" s="2">
        <f t="shared" si="17"/>
        <v>48553.364423761268</v>
      </c>
      <c r="BA44" s="2">
        <f t="shared" si="17"/>
        <v>117385.176764806</v>
      </c>
      <c r="BB44" s="2">
        <f t="shared" si="18"/>
        <v>0</v>
      </c>
      <c r="BC44" s="2"/>
      <c r="BM44" s="24"/>
      <c r="BN44">
        <f t="shared" si="5"/>
        <v>1990</v>
      </c>
      <c r="BO44" s="1" t="b">
        <f t="shared" si="37"/>
        <v>1</v>
      </c>
      <c r="BP44" s="1" t="b">
        <f t="shared" si="38"/>
        <v>0</v>
      </c>
      <c r="BS44" s="1" t="b">
        <f t="shared" si="19"/>
        <v>0</v>
      </c>
      <c r="BU44" s="1" t="b">
        <f t="shared" si="39"/>
        <v>0</v>
      </c>
      <c r="BV44" s="1" t="b">
        <f t="shared" si="40"/>
        <v>1</v>
      </c>
      <c r="CH44" s="2"/>
    </row>
    <row r="45" spans="1:86" x14ac:dyDescent="0.2">
      <c r="A45">
        <f t="shared" si="6"/>
        <v>1991</v>
      </c>
      <c r="B45" s="2">
        <f t="shared" si="20"/>
        <v>32776.729730165935</v>
      </c>
      <c r="C45" s="2">
        <f t="shared" si="21"/>
        <v>39700.442081327201</v>
      </c>
      <c r="D45" s="2"/>
      <c r="E45" s="2"/>
      <c r="F45" s="2">
        <f t="shared" si="22"/>
        <v>17234.412145030179</v>
      </c>
      <c r="G45" s="2"/>
      <c r="H45" s="2">
        <f t="shared" si="23"/>
        <v>55957.752498384863</v>
      </c>
      <c r="I45" s="2">
        <f t="shared" si="41"/>
        <v>145669.33645490819</v>
      </c>
      <c r="J45" s="2">
        <f t="shared" si="24"/>
        <v>22583.252664997679</v>
      </c>
      <c r="K45" s="83">
        <f t="shared" si="25"/>
        <v>0.18347527169313393</v>
      </c>
      <c r="L45" s="7">
        <f t="shared" si="26"/>
        <v>1.1834752716931338</v>
      </c>
      <c r="N45">
        <f t="shared" si="27"/>
        <v>1991</v>
      </c>
      <c r="O45" s="2">
        <f t="shared" si="28"/>
        <v>5871.9342358576341</v>
      </c>
      <c r="P45" s="2"/>
      <c r="Q45" s="2"/>
      <c r="R45">
        <f t="shared" si="29"/>
        <v>1991</v>
      </c>
      <c r="S45" s="2">
        <f t="shared" si="42"/>
        <v>31308.746171201525</v>
      </c>
      <c r="T45" s="2">
        <f t="shared" si="42"/>
        <v>38232.458522362795</v>
      </c>
      <c r="U45" s="2"/>
      <c r="V45" s="2"/>
      <c r="W45" s="2">
        <f t="shared" si="10"/>
        <v>15766.428586065771</v>
      </c>
      <c r="X45" s="2"/>
      <c r="Y45" s="2">
        <f t="shared" si="43"/>
        <v>54489.768939420457</v>
      </c>
      <c r="Z45" s="2">
        <f t="shared" si="44"/>
        <v>139797.40221905053</v>
      </c>
      <c r="AA45" s="2">
        <f t="shared" si="30"/>
        <v>22412.22545424453</v>
      </c>
      <c r="AB45" s="83">
        <f t="shared" si="31"/>
        <v>0.19092892366767797</v>
      </c>
      <c r="AC45" s="7">
        <f t="shared" si="32"/>
        <v>1.1909289236676779</v>
      </c>
      <c r="AD45" s="2">
        <f t="shared" si="45"/>
        <v>0</v>
      </c>
      <c r="AE45" s="2"/>
      <c r="AG45">
        <f t="shared" si="11"/>
        <v>1991</v>
      </c>
      <c r="AH45" s="6">
        <f t="shared" si="12"/>
        <v>0.22395799688855023</v>
      </c>
      <c r="AI45" s="6">
        <f t="shared" si="12"/>
        <v>0.27348475662270044</v>
      </c>
      <c r="AJ45" s="7"/>
      <c r="AK45" s="7"/>
      <c r="AL45" s="6">
        <f t="shared" si="13"/>
        <v>0.11278055483006136</v>
      </c>
      <c r="AM45" s="7"/>
      <c r="AN45" s="6">
        <f t="shared" si="14"/>
        <v>0.38977669165868806</v>
      </c>
      <c r="AO45" s="6">
        <f t="shared" si="33"/>
        <v>1</v>
      </c>
      <c r="AP45" s="7">
        <f t="shared" si="34"/>
        <v>0.610223308341312</v>
      </c>
      <c r="AQ45" s="7">
        <f t="shared" si="35"/>
        <v>0</v>
      </c>
      <c r="AR45" s="7"/>
      <c r="AS45">
        <f t="shared" si="36"/>
        <v>1991</v>
      </c>
      <c r="AT45" s="2">
        <f t="shared" si="15"/>
        <v>31308.746171201525</v>
      </c>
      <c r="AU45" s="2">
        <f t="shared" si="15"/>
        <v>38232.458522362795</v>
      </c>
      <c r="AV45" s="2"/>
      <c r="AW45" s="2"/>
      <c r="AX45" s="2">
        <f t="shared" si="16"/>
        <v>15766.428586065771</v>
      </c>
      <c r="AY45" s="2"/>
      <c r="AZ45" s="2">
        <f t="shared" si="17"/>
        <v>54489.768939420457</v>
      </c>
      <c r="BA45" s="2">
        <f t="shared" si="17"/>
        <v>139797.40221905053</v>
      </c>
      <c r="BB45" s="2">
        <f t="shared" si="18"/>
        <v>0</v>
      </c>
      <c r="BC45" s="2"/>
      <c r="BM45" s="24"/>
      <c r="BN45">
        <f t="shared" si="5"/>
        <v>1991</v>
      </c>
      <c r="BO45" s="1" t="b">
        <f t="shared" si="37"/>
        <v>1</v>
      </c>
      <c r="BP45" s="1" t="b">
        <f t="shared" si="38"/>
        <v>1</v>
      </c>
      <c r="BS45" s="1" t="b">
        <f t="shared" si="19"/>
        <v>0</v>
      </c>
      <c r="BU45" s="1" t="b">
        <f t="shared" si="39"/>
        <v>0</v>
      </c>
      <c r="BV45" s="1" t="b">
        <f t="shared" si="40"/>
        <v>1</v>
      </c>
      <c r="CH45" s="2"/>
    </row>
    <row r="46" spans="1:86" x14ac:dyDescent="0.2">
      <c r="A46">
        <f t="shared" si="6"/>
        <v>1992</v>
      </c>
      <c r="B46" s="2">
        <f t="shared" si="20"/>
        <v>33631.855137104678</v>
      </c>
      <c r="C46" s="2">
        <f t="shared" si="21"/>
        <v>42998.516801760539</v>
      </c>
      <c r="D46" s="2"/>
      <c r="E46" s="2"/>
      <c r="F46" s="2">
        <f t="shared" si="22"/>
        <v>14391.438349074975</v>
      </c>
      <c r="G46" s="2"/>
      <c r="H46" s="2">
        <f t="shared" si="23"/>
        <v>58380.338441695072</v>
      </c>
      <c r="I46" s="2">
        <f t="shared" si="41"/>
        <v>149402.14872963529</v>
      </c>
      <c r="J46" s="2">
        <f t="shared" si="24"/>
        <v>3732.8122747270972</v>
      </c>
      <c r="K46" s="83">
        <f t="shared" si="25"/>
        <v>2.5625243895324435E-2</v>
      </c>
      <c r="L46" s="7">
        <f t="shared" si="26"/>
        <v>1.0256252438953244</v>
      </c>
      <c r="N46">
        <f t="shared" si="27"/>
        <v>1992</v>
      </c>
      <c r="O46" s="2">
        <f t="shared" si="28"/>
        <v>6048.0922629333636</v>
      </c>
      <c r="P46" s="2"/>
      <c r="Q46" s="2"/>
      <c r="R46">
        <f t="shared" si="29"/>
        <v>1992</v>
      </c>
      <c r="S46" s="2">
        <f t="shared" si="42"/>
        <v>32119.832071371336</v>
      </c>
      <c r="T46" s="2">
        <f t="shared" si="42"/>
        <v>41486.493736027202</v>
      </c>
      <c r="U46" s="2"/>
      <c r="V46" s="2"/>
      <c r="W46" s="2">
        <f t="shared" si="10"/>
        <v>12879.415283341634</v>
      </c>
      <c r="X46" s="2"/>
      <c r="Y46" s="2">
        <f t="shared" si="43"/>
        <v>56868.315375961734</v>
      </c>
      <c r="Z46" s="2">
        <f t="shared" si="44"/>
        <v>143354.05646670191</v>
      </c>
      <c r="AA46" s="2">
        <f t="shared" si="30"/>
        <v>3556.6542476513714</v>
      </c>
      <c r="AB46" s="83">
        <f t="shared" si="31"/>
        <v>2.5441490265165297E-2</v>
      </c>
      <c r="AC46" s="7">
        <f t="shared" si="32"/>
        <v>1.0254414902651654</v>
      </c>
      <c r="AD46" s="2">
        <f t="shared" si="45"/>
        <v>0</v>
      </c>
      <c r="AE46" s="2"/>
      <c r="AG46">
        <f t="shared" si="11"/>
        <v>1992</v>
      </c>
      <c r="AH46" s="59">
        <f t="shared" si="12"/>
        <v>0.22405945714436123</v>
      </c>
      <c r="AI46" s="59">
        <f t="shared" si="12"/>
        <v>0.28939881269187268</v>
      </c>
      <c r="AJ46" s="60"/>
      <c r="AK46" s="60"/>
      <c r="AL46" s="59">
        <f t="shared" si="13"/>
        <v>8.9843396139496393E-2</v>
      </c>
      <c r="AM46" s="60"/>
      <c r="AN46" s="59">
        <f t="shared" si="14"/>
        <v>0.39669833402426974</v>
      </c>
      <c r="AO46" s="6">
        <f t="shared" si="33"/>
        <v>1</v>
      </c>
      <c r="AP46" s="7">
        <f t="shared" si="34"/>
        <v>0.60330166597573032</v>
      </c>
      <c r="AQ46" s="7">
        <f t="shared" si="35"/>
        <v>0</v>
      </c>
      <c r="AR46" s="7"/>
      <c r="AS46">
        <f t="shared" si="36"/>
        <v>1992</v>
      </c>
      <c r="AT46" s="2">
        <f t="shared" si="15"/>
        <v>32119.832071371336</v>
      </c>
      <c r="AU46" s="2">
        <f t="shared" si="15"/>
        <v>41486.493736027202</v>
      </c>
      <c r="AV46" s="2"/>
      <c r="AW46" s="2"/>
      <c r="AX46" s="2">
        <f t="shared" si="16"/>
        <v>12879.415283341634</v>
      </c>
      <c r="AY46" s="2"/>
      <c r="AZ46" s="2">
        <f t="shared" si="17"/>
        <v>56868.315375961734</v>
      </c>
      <c r="BA46" s="2">
        <f t="shared" si="17"/>
        <v>143354.05646670191</v>
      </c>
      <c r="BB46" s="2">
        <f t="shared" si="18"/>
        <v>0</v>
      </c>
      <c r="BC46" s="2"/>
      <c r="BM46" s="24"/>
      <c r="BN46">
        <f t="shared" si="5"/>
        <v>1992</v>
      </c>
      <c r="BO46" s="1" t="b">
        <f t="shared" si="37"/>
        <v>1</v>
      </c>
      <c r="BP46" s="28" t="b">
        <f t="shared" si="38"/>
        <v>1</v>
      </c>
      <c r="BS46" s="28" t="b">
        <f t="shared" si="19"/>
        <v>0</v>
      </c>
      <c r="BU46" s="1" t="b">
        <f t="shared" si="39"/>
        <v>0</v>
      </c>
      <c r="BV46" s="1" t="b">
        <f t="shared" si="40"/>
        <v>1</v>
      </c>
      <c r="CH46" s="2"/>
    </row>
    <row r="47" spans="1:86" x14ac:dyDescent="0.2">
      <c r="A47">
        <f t="shared" si="6"/>
        <v>1993</v>
      </c>
      <c r="B47" s="2">
        <f t="shared" si="20"/>
        <v>35296.483463229961</v>
      </c>
      <c r="C47" s="2">
        <f t="shared" si="21"/>
        <v>47497.886678377545</v>
      </c>
      <c r="D47" s="2"/>
      <c r="E47" s="2"/>
      <c r="F47" s="2">
        <f t="shared" si="22"/>
        <v>16806.864179843833</v>
      </c>
      <c r="G47" s="2"/>
      <c r="H47" s="2">
        <f t="shared" si="23"/>
        <v>62373.168304354833</v>
      </c>
      <c r="I47" s="2">
        <f t="shared" si="41"/>
        <v>161974.40262580616</v>
      </c>
      <c r="J47" s="2">
        <f t="shared" si="24"/>
        <v>12572.253896170878</v>
      </c>
      <c r="K47" s="83">
        <f t="shared" si="25"/>
        <v>8.4150422219978802E-2</v>
      </c>
      <c r="L47" s="7">
        <f t="shared" si="26"/>
        <v>1.0841504222199787</v>
      </c>
      <c r="N47">
        <f t="shared" si="27"/>
        <v>1993</v>
      </c>
      <c r="O47" s="2">
        <f t="shared" si="28"/>
        <v>6217.4388462954976</v>
      </c>
      <c r="P47" s="2"/>
      <c r="Q47" s="2"/>
      <c r="R47">
        <f t="shared" si="29"/>
        <v>1993</v>
      </c>
      <c r="S47" s="2">
        <f t="shared" si="42"/>
        <v>33742.123751656087</v>
      </c>
      <c r="T47" s="2">
        <f t="shared" si="42"/>
        <v>45943.526966803671</v>
      </c>
      <c r="U47" s="2"/>
      <c r="V47" s="2"/>
      <c r="W47" s="2">
        <f t="shared" si="10"/>
        <v>15252.504468269959</v>
      </c>
      <c r="X47" s="2"/>
      <c r="Y47" s="2">
        <f t="shared" si="43"/>
        <v>60818.808592780959</v>
      </c>
      <c r="Z47" s="2">
        <f t="shared" si="44"/>
        <v>155756.96377951067</v>
      </c>
      <c r="AA47" s="2">
        <f t="shared" si="30"/>
        <v>12402.907312808762</v>
      </c>
      <c r="AB47" s="83">
        <f t="shared" si="31"/>
        <v>8.6519402509476206E-2</v>
      </c>
      <c r="AC47" s="7">
        <f t="shared" si="32"/>
        <v>1.0865194025094762</v>
      </c>
      <c r="AD47" s="2">
        <f t="shared" si="45"/>
        <v>0</v>
      </c>
      <c r="AE47" s="2"/>
      <c r="AG47">
        <f t="shared" si="11"/>
        <v>1993</v>
      </c>
      <c r="AH47" s="59">
        <f t="shared" si="12"/>
        <v>0.21663316318505918</v>
      </c>
      <c r="AI47" s="59">
        <f t="shared" si="12"/>
        <v>0.29496932818901928</v>
      </c>
      <c r="AJ47" s="60"/>
      <c r="AK47" s="60"/>
      <c r="AL47" s="59">
        <f t="shared" si="13"/>
        <v>9.7925024333816515E-2</v>
      </c>
      <c r="AM47" s="60"/>
      <c r="AN47" s="59">
        <f t="shared" si="14"/>
        <v>0.39047248429210507</v>
      </c>
      <c r="AO47" s="6">
        <f t="shared" si="33"/>
        <v>1</v>
      </c>
      <c r="AP47" s="7">
        <f t="shared" si="34"/>
        <v>0.60952751570789498</v>
      </c>
      <c r="AQ47" s="7">
        <f t="shared" si="35"/>
        <v>0</v>
      </c>
      <c r="AR47" s="7"/>
      <c r="AS47">
        <f t="shared" si="36"/>
        <v>1993</v>
      </c>
      <c r="AT47" s="2">
        <f t="shared" si="15"/>
        <v>33742.123751656087</v>
      </c>
      <c r="AU47" s="2">
        <f t="shared" si="15"/>
        <v>45943.526966803671</v>
      </c>
      <c r="AV47" s="2"/>
      <c r="AW47" s="2"/>
      <c r="AX47" s="2">
        <f t="shared" si="16"/>
        <v>15252.504468269959</v>
      </c>
      <c r="AY47" s="2"/>
      <c r="AZ47" s="2">
        <f t="shared" si="17"/>
        <v>60818.808592780959</v>
      </c>
      <c r="BA47" s="2">
        <f t="shared" si="17"/>
        <v>155756.96377951067</v>
      </c>
      <c r="BB47" s="2">
        <f t="shared" si="18"/>
        <v>0</v>
      </c>
      <c r="BC47" s="2"/>
      <c r="BM47" s="24"/>
      <c r="BN47">
        <f t="shared" si="5"/>
        <v>1993</v>
      </c>
      <c r="BO47" s="1" t="b">
        <f t="shared" si="37"/>
        <v>1</v>
      </c>
      <c r="BP47" s="1" t="b">
        <f t="shared" si="38"/>
        <v>1</v>
      </c>
      <c r="BS47" s="1" t="b">
        <f t="shared" si="19"/>
        <v>0</v>
      </c>
      <c r="BU47" s="1" t="b">
        <f t="shared" si="39"/>
        <v>0</v>
      </c>
      <c r="BV47" s="1" t="b">
        <f t="shared" si="40"/>
        <v>1</v>
      </c>
      <c r="CH47" s="2"/>
    </row>
    <row r="48" spans="1:86" x14ac:dyDescent="0.2">
      <c r="A48">
        <f t="shared" si="6"/>
        <v>1994</v>
      </c>
      <c r="B48" s="2">
        <f t="shared" si="20"/>
        <v>34140.28081192563</v>
      </c>
      <c r="C48" s="2">
        <f t="shared" si="21"/>
        <v>45133.083151109255</v>
      </c>
      <c r="D48" s="2"/>
      <c r="E48" s="2"/>
      <c r="F48" s="2">
        <f t="shared" si="22"/>
        <v>16054.023578077547</v>
      </c>
      <c r="G48" s="2"/>
      <c r="H48" s="2">
        <f t="shared" si="23"/>
        <v>59201.028284212989</v>
      </c>
      <c r="I48" s="2">
        <f t="shared" si="41"/>
        <v>154528.41582532541</v>
      </c>
      <c r="J48" s="2">
        <f t="shared" si="24"/>
        <v>-7445.9868004807504</v>
      </c>
      <c r="K48" s="83">
        <f t="shared" si="25"/>
        <v>-4.5970145157333872E-2</v>
      </c>
      <c r="L48" s="7">
        <f t="shared" si="26"/>
        <v>0.95402985484266611</v>
      </c>
      <c r="N48">
        <f t="shared" si="27"/>
        <v>1994</v>
      </c>
      <c r="O48" s="2">
        <f t="shared" si="28"/>
        <v>6379.0922562991809</v>
      </c>
      <c r="P48" s="2"/>
      <c r="Q48" s="2"/>
      <c r="R48">
        <f t="shared" si="29"/>
        <v>1994</v>
      </c>
      <c r="S48" s="2">
        <f t="shared" si="42"/>
        <v>32545.507747850836</v>
      </c>
      <c r="T48" s="2">
        <f t="shared" si="42"/>
        <v>43538.310087034457</v>
      </c>
      <c r="U48" s="2"/>
      <c r="V48" s="2"/>
      <c r="W48" s="2">
        <f t="shared" si="10"/>
        <v>14459.250514002752</v>
      </c>
      <c r="X48" s="2"/>
      <c r="Y48" s="2">
        <f t="shared" si="43"/>
        <v>57606.255220138191</v>
      </c>
      <c r="Z48" s="2">
        <f t="shared" si="44"/>
        <v>148149.32356902625</v>
      </c>
      <c r="AA48" s="2">
        <f t="shared" si="30"/>
        <v>-7607.6402104844165</v>
      </c>
      <c r="AB48" s="83">
        <f t="shared" si="31"/>
        <v>-4.8843018160355134E-2</v>
      </c>
      <c r="AC48" s="7">
        <f t="shared" si="32"/>
        <v>0.95115698183964481</v>
      </c>
      <c r="AD48" s="2">
        <f t="shared" si="45"/>
        <v>0</v>
      </c>
      <c r="AE48" s="2"/>
      <c r="AG48">
        <f t="shared" si="11"/>
        <v>1994</v>
      </c>
      <c r="AH48" s="6">
        <f t="shared" si="12"/>
        <v>0.21968043433345222</v>
      </c>
      <c r="AI48" s="6">
        <f t="shared" si="12"/>
        <v>0.29388126140683279</v>
      </c>
      <c r="AJ48" s="7"/>
      <c r="AK48" s="7"/>
      <c r="AL48" s="6">
        <f t="shared" si="13"/>
        <v>9.7599166608856286E-2</v>
      </c>
      <c r="AM48" s="7"/>
      <c r="AN48" s="6">
        <f t="shared" si="14"/>
        <v>0.38883913765085859</v>
      </c>
      <c r="AO48" s="6">
        <f t="shared" si="33"/>
        <v>0.99999999999999978</v>
      </c>
      <c r="AP48" s="7">
        <f t="shared" si="34"/>
        <v>0.61116086234914124</v>
      </c>
      <c r="AQ48" s="7">
        <f t="shared" si="35"/>
        <v>0</v>
      </c>
      <c r="AR48" s="7"/>
      <c r="AS48">
        <f t="shared" si="36"/>
        <v>1994</v>
      </c>
      <c r="AT48" s="2">
        <f t="shared" si="15"/>
        <v>32545.507747850836</v>
      </c>
      <c r="AU48" s="2">
        <f t="shared" si="15"/>
        <v>43538.310087034457</v>
      </c>
      <c r="AV48" s="2"/>
      <c r="AW48" s="2"/>
      <c r="AX48" s="2">
        <f t="shared" si="16"/>
        <v>14459.250514002752</v>
      </c>
      <c r="AY48" s="2"/>
      <c r="AZ48" s="2">
        <f t="shared" si="17"/>
        <v>57606.255220138191</v>
      </c>
      <c r="BA48" s="2">
        <f t="shared" si="17"/>
        <v>148149.32356902625</v>
      </c>
      <c r="BB48" s="2">
        <f t="shared" si="18"/>
        <v>0</v>
      </c>
      <c r="BC48" s="2"/>
      <c r="BM48" s="24"/>
      <c r="BN48">
        <f t="shared" si="5"/>
        <v>1994</v>
      </c>
      <c r="BO48" s="1" t="b">
        <f t="shared" si="37"/>
        <v>1</v>
      </c>
      <c r="BP48" s="1" t="b">
        <f t="shared" si="38"/>
        <v>1</v>
      </c>
      <c r="BS48" s="1" t="b">
        <f t="shared" si="19"/>
        <v>0</v>
      </c>
      <c r="BU48" s="1" t="b">
        <f t="shared" si="39"/>
        <v>0</v>
      </c>
      <c r="BV48" s="1" t="b">
        <f t="shared" si="40"/>
        <v>1</v>
      </c>
      <c r="CH48" s="2"/>
    </row>
    <row r="49" spans="1:86" x14ac:dyDescent="0.2">
      <c r="A49">
        <f t="shared" si="6"/>
        <v>1995</v>
      </c>
      <c r="B49" s="2">
        <f t="shared" si="20"/>
        <v>44733.800399420972</v>
      </c>
      <c r="C49" s="2">
        <f t="shared" si="21"/>
        <v>58252.952747149488</v>
      </c>
      <c r="D49" s="2"/>
      <c r="E49" s="2"/>
      <c r="F49" s="2">
        <f t="shared" si="22"/>
        <v>15853.989818583457</v>
      </c>
      <c r="G49" s="2"/>
      <c r="H49" s="2">
        <f t="shared" si="23"/>
        <v>68079.072419159318</v>
      </c>
      <c r="I49" s="2">
        <f t="shared" si="41"/>
        <v>186919.81538431323</v>
      </c>
      <c r="J49" s="2">
        <f t="shared" si="24"/>
        <v>32391.399558987818</v>
      </c>
      <c r="K49" s="83">
        <f t="shared" si="25"/>
        <v>0.20961451902543379</v>
      </c>
      <c r="L49" s="7">
        <f t="shared" si="26"/>
        <v>1.2096145190254337</v>
      </c>
      <c r="N49">
        <f t="shared" si="27"/>
        <v>1995</v>
      </c>
      <c r="O49" s="2">
        <f t="shared" si="28"/>
        <v>6538.5695627066598</v>
      </c>
      <c r="P49" s="2"/>
      <c r="Q49" s="2"/>
      <c r="R49">
        <f t="shared" si="29"/>
        <v>1995</v>
      </c>
      <c r="S49" s="2">
        <f t="shared" si="42"/>
        <v>43099.158008744307</v>
      </c>
      <c r="T49" s="2">
        <f t="shared" si="42"/>
        <v>56618.310356472823</v>
      </c>
      <c r="U49" s="2"/>
      <c r="V49" s="2"/>
      <c r="W49" s="2">
        <f t="shared" si="10"/>
        <v>14219.347427906792</v>
      </c>
      <c r="X49" s="2"/>
      <c r="Y49" s="2">
        <f t="shared" si="43"/>
        <v>66444.43002848266</v>
      </c>
      <c r="Z49" s="2">
        <f t="shared" si="44"/>
        <v>180381.24582160657</v>
      </c>
      <c r="AA49" s="2">
        <f t="shared" si="30"/>
        <v>32231.92225258032</v>
      </c>
      <c r="AB49" s="83">
        <f t="shared" si="31"/>
        <v>0.21756374903434986</v>
      </c>
      <c r="AC49" s="7">
        <f t="shared" si="32"/>
        <v>1.2175637490343498</v>
      </c>
      <c r="AD49" s="2">
        <f t="shared" si="45"/>
        <v>0</v>
      </c>
      <c r="AE49" s="2"/>
      <c r="AG49">
        <f t="shared" si="11"/>
        <v>1995</v>
      </c>
      <c r="AH49" s="6">
        <f t="shared" si="12"/>
        <v>0.23893369741646261</v>
      </c>
      <c r="AI49" s="6">
        <f t="shared" si="12"/>
        <v>0.31388135777966181</v>
      </c>
      <c r="AJ49" s="7"/>
      <c r="AK49" s="7"/>
      <c r="AL49" s="6">
        <f t="shared" si="13"/>
        <v>7.8829411356707457E-2</v>
      </c>
      <c r="AM49" s="7"/>
      <c r="AN49" s="6">
        <f t="shared" si="14"/>
        <v>0.36835553344716815</v>
      </c>
      <c r="AO49" s="6">
        <f t="shared" si="33"/>
        <v>1</v>
      </c>
      <c r="AP49" s="7">
        <f t="shared" si="34"/>
        <v>0.6316444665528318</v>
      </c>
      <c r="AQ49" s="7">
        <f t="shared" si="35"/>
        <v>0</v>
      </c>
      <c r="AR49" s="7"/>
      <c r="AS49">
        <f t="shared" si="36"/>
        <v>1995</v>
      </c>
      <c r="AT49" s="2">
        <f t="shared" si="15"/>
        <v>43099.158008744307</v>
      </c>
      <c r="AU49" s="2">
        <f t="shared" si="15"/>
        <v>56618.310356472823</v>
      </c>
      <c r="AV49" s="2"/>
      <c r="AW49" s="2"/>
      <c r="AX49" s="2">
        <f t="shared" si="16"/>
        <v>14219.347427906792</v>
      </c>
      <c r="AY49" s="2"/>
      <c r="AZ49" s="2">
        <f t="shared" si="17"/>
        <v>66444.43002848266</v>
      </c>
      <c r="BA49" s="2">
        <f t="shared" si="17"/>
        <v>180381.24582160657</v>
      </c>
      <c r="BB49" s="2">
        <f t="shared" si="18"/>
        <v>0</v>
      </c>
      <c r="BC49" s="2"/>
      <c r="BM49" s="24"/>
      <c r="BN49">
        <f t="shared" si="5"/>
        <v>1995</v>
      </c>
      <c r="BO49" s="1" t="b">
        <f t="shared" si="37"/>
        <v>1</v>
      </c>
      <c r="BP49" s="1" t="b">
        <f t="shared" si="38"/>
        <v>1</v>
      </c>
      <c r="BS49" s="1" t="b">
        <f t="shared" si="19"/>
        <v>0</v>
      </c>
      <c r="BU49" s="1" t="b">
        <f t="shared" si="39"/>
        <v>0</v>
      </c>
      <c r="BV49" s="1" t="b">
        <f t="shared" si="40"/>
        <v>1</v>
      </c>
      <c r="CH49" s="2"/>
    </row>
    <row r="50" spans="1:86" x14ac:dyDescent="0.2">
      <c r="A50">
        <f t="shared" si="6"/>
        <v>1996</v>
      </c>
      <c r="B50" s="2">
        <f t="shared" si="20"/>
        <v>52960.245361145011</v>
      </c>
      <c r="C50" s="2">
        <f t="shared" si="21"/>
        <v>66609.743585079574</v>
      </c>
      <c r="D50" s="2"/>
      <c r="E50" s="2"/>
      <c r="F50" s="2">
        <f t="shared" si="22"/>
        <v>15672.422541564587</v>
      </c>
      <c r="G50" s="2"/>
      <c r="H50" s="2">
        <f t="shared" si="23"/>
        <v>68823.140623502346</v>
      </c>
      <c r="I50" s="2">
        <f t="shared" si="41"/>
        <v>204065.55211129153</v>
      </c>
      <c r="J50" s="2">
        <f t="shared" si="24"/>
        <v>17145.736726978299</v>
      </c>
      <c r="K50" s="83">
        <f t="shared" si="25"/>
        <v>9.1727764077479457E-2</v>
      </c>
      <c r="L50" s="7">
        <f t="shared" si="26"/>
        <v>1.0917277640774794</v>
      </c>
      <c r="N50">
        <f t="shared" si="27"/>
        <v>1996</v>
      </c>
      <c r="O50" s="2">
        <f t="shared" si="28"/>
        <v>6760.8809278386861</v>
      </c>
      <c r="P50" s="2"/>
      <c r="Q50" s="2"/>
      <c r="R50">
        <f t="shared" si="29"/>
        <v>1996</v>
      </c>
      <c r="S50" s="2">
        <f t="shared" si="42"/>
        <v>51270.025129185342</v>
      </c>
      <c r="T50" s="2">
        <f t="shared" si="42"/>
        <v>64919.523353119905</v>
      </c>
      <c r="U50" s="2"/>
      <c r="V50" s="2"/>
      <c r="W50" s="2">
        <f t="shared" si="10"/>
        <v>13982.202309604916</v>
      </c>
      <c r="X50" s="2"/>
      <c r="Y50" s="2">
        <f t="shared" si="43"/>
        <v>67132.920391542677</v>
      </c>
      <c r="Z50" s="2">
        <f t="shared" si="44"/>
        <v>197304.67118345283</v>
      </c>
      <c r="AA50" s="2">
        <f t="shared" si="30"/>
        <v>16923.425361846254</v>
      </c>
      <c r="AB50" s="83">
        <f t="shared" si="31"/>
        <v>9.3820315325813752E-2</v>
      </c>
      <c r="AC50" s="7">
        <f t="shared" si="32"/>
        <v>1.0938203153258137</v>
      </c>
      <c r="AD50" s="2">
        <f t="shared" si="45"/>
        <v>0</v>
      </c>
      <c r="AE50" s="2"/>
      <c r="AG50">
        <f t="shared" si="11"/>
        <v>1996</v>
      </c>
      <c r="AH50" s="6">
        <f t="shared" si="12"/>
        <v>0.25985205936414324</v>
      </c>
      <c r="AI50" s="6">
        <f t="shared" si="12"/>
        <v>0.32903186206249563</v>
      </c>
      <c r="AJ50" s="7"/>
      <c r="AK50" s="7"/>
      <c r="AL50" s="6">
        <f t="shared" si="13"/>
        <v>7.0866048055214764E-2</v>
      </c>
      <c r="AM50" s="6"/>
      <c r="AN50" s="6">
        <f t="shared" si="14"/>
        <v>0.34025003051814645</v>
      </c>
      <c r="AO50" s="6">
        <f t="shared" si="33"/>
        <v>1</v>
      </c>
      <c r="AP50" s="7">
        <f t="shared" si="34"/>
        <v>0.6597499694818536</v>
      </c>
      <c r="AQ50" s="7">
        <f t="shared" si="35"/>
        <v>0</v>
      </c>
      <c r="AR50" s="7"/>
      <c r="AS50">
        <f t="shared" si="36"/>
        <v>1996</v>
      </c>
      <c r="AT50" s="2">
        <f t="shared" si="15"/>
        <v>51270.025129185342</v>
      </c>
      <c r="AU50" s="2">
        <f t="shared" si="15"/>
        <v>64919.523353119905</v>
      </c>
      <c r="AV50" s="2"/>
      <c r="AW50" s="2"/>
      <c r="AX50" s="2">
        <f t="shared" si="16"/>
        <v>13982.202309604916</v>
      </c>
      <c r="AY50" s="2"/>
      <c r="AZ50" s="2">
        <f t="shared" si="17"/>
        <v>67132.920391542677</v>
      </c>
      <c r="BA50" s="2">
        <f t="shared" si="17"/>
        <v>197304.67118345283</v>
      </c>
      <c r="BB50" s="2">
        <f t="shared" si="18"/>
        <v>0</v>
      </c>
      <c r="BC50" s="2"/>
      <c r="BM50" s="24"/>
      <c r="BN50">
        <f t="shared" si="5"/>
        <v>1996</v>
      </c>
      <c r="BO50" s="1" t="b">
        <f t="shared" si="37"/>
        <v>0</v>
      </c>
      <c r="BP50" s="1" t="b">
        <f t="shared" si="38"/>
        <v>1</v>
      </c>
      <c r="BS50" s="1" t="b">
        <f t="shared" si="19"/>
        <v>0</v>
      </c>
      <c r="BU50" s="28" t="b">
        <f t="shared" si="39"/>
        <v>1</v>
      </c>
      <c r="BV50" s="1" t="b">
        <f t="shared" si="40"/>
        <v>1</v>
      </c>
      <c r="CH50" s="2"/>
    </row>
    <row r="51" spans="1:86" x14ac:dyDescent="0.2">
      <c r="A51">
        <f t="shared" si="6"/>
        <v>1997</v>
      </c>
      <c r="B51" s="2">
        <f t="shared" si="20"/>
        <v>68286.546469561959</v>
      </c>
      <c r="C51" s="2">
        <f t="shared" si="21"/>
        <v>82244.596550367016</v>
      </c>
      <c r="D51" s="2"/>
      <c r="E51" s="2"/>
      <c r="F51" s="2"/>
      <c r="G51" s="2">
        <f>AX50*(1+(G13/100))</f>
        <v>13873.840241705477</v>
      </c>
      <c r="H51" s="2">
        <f t="shared" si="23"/>
        <v>73470.268076504304</v>
      </c>
      <c r="I51" s="2">
        <f t="shared" si="41"/>
        <v>237875.25133813877</v>
      </c>
      <c r="J51" s="2">
        <f t="shared" si="24"/>
        <v>33809.699226847239</v>
      </c>
      <c r="K51" s="83">
        <f t="shared" si="25"/>
        <v>0.16568058095571364</v>
      </c>
      <c r="L51" s="7">
        <f t="shared" si="26"/>
        <v>1.1656805809557136</v>
      </c>
      <c r="N51">
        <f t="shared" si="27"/>
        <v>1997</v>
      </c>
      <c r="O51" s="2">
        <f t="shared" si="28"/>
        <v>6875.8159036119432</v>
      </c>
      <c r="P51" s="2"/>
      <c r="Q51" s="2"/>
      <c r="R51">
        <f t="shared" si="29"/>
        <v>1997</v>
      </c>
      <c r="S51" s="2">
        <f t="shared" si="42"/>
        <v>66567.592493658973</v>
      </c>
      <c r="T51" s="2">
        <f t="shared" si="42"/>
        <v>80525.642574464029</v>
      </c>
      <c r="U51" s="2"/>
      <c r="V51" s="2"/>
      <c r="W51" s="2"/>
      <c r="X51" s="2">
        <f>G51-($O51/4)</f>
        <v>12154.886265802492</v>
      </c>
      <c r="Y51" s="2">
        <f t="shared" si="43"/>
        <v>71751.314100601317</v>
      </c>
      <c r="Z51" s="2">
        <f t="shared" si="44"/>
        <v>230999.43543452682</v>
      </c>
      <c r="AA51" s="2">
        <f t="shared" si="30"/>
        <v>33694.764251073997</v>
      </c>
      <c r="AB51" s="83">
        <f t="shared" si="31"/>
        <v>0.17077529918054898</v>
      </c>
      <c r="AC51" s="7">
        <f t="shared" si="32"/>
        <v>1.1707752991805489</v>
      </c>
      <c r="AD51" s="2">
        <f t="shared" si="45"/>
        <v>0</v>
      </c>
      <c r="AE51" s="2"/>
      <c r="AG51">
        <f t="shared" si="11"/>
        <v>1997</v>
      </c>
      <c r="AH51" s="6">
        <f t="shared" si="12"/>
        <v>0.28817210037089686</v>
      </c>
      <c r="AI51" s="6">
        <f t="shared" si="12"/>
        <v>0.34859670727328579</v>
      </c>
      <c r="AJ51" s="7"/>
      <c r="AK51" s="7"/>
      <c r="AL51" s="6"/>
      <c r="AM51" s="6">
        <f t="shared" si="13"/>
        <v>5.261868386361318E-2</v>
      </c>
      <c r="AN51" s="6">
        <f t="shared" si="14"/>
        <v>0.31061250849220412</v>
      </c>
      <c r="AO51" s="6">
        <f t="shared" si="33"/>
        <v>0.99999999999999989</v>
      </c>
      <c r="AP51" s="7">
        <f t="shared" si="34"/>
        <v>0.68938749150779577</v>
      </c>
      <c r="AQ51" s="7">
        <f t="shared" si="35"/>
        <v>0</v>
      </c>
      <c r="AR51" s="7"/>
      <c r="AS51">
        <f t="shared" si="36"/>
        <v>1997</v>
      </c>
      <c r="AT51" s="2">
        <f t="shared" si="15"/>
        <v>66567.592493658973</v>
      </c>
      <c r="AU51" s="2">
        <f t="shared" si="15"/>
        <v>80525.642574464029</v>
      </c>
      <c r="AV51" s="2"/>
      <c r="AW51" s="2"/>
      <c r="AX51" s="2"/>
      <c r="AY51" s="2">
        <f>X51</f>
        <v>12154.886265802492</v>
      </c>
      <c r="AZ51" s="2">
        <f t="shared" si="17"/>
        <v>71751.314100601317</v>
      </c>
      <c r="BA51" s="2">
        <f t="shared" si="17"/>
        <v>230999.43543452682</v>
      </c>
      <c r="BB51" s="2">
        <f t="shared" si="18"/>
        <v>0</v>
      </c>
      <c r="BC51" s="2"/>
      <c r="BM51" s="24"/>
      <c r="BN51">
        <f t="shared" si="5"/>
        <v>1997</v>
      </c>
      <c r="BO51" s="1" t="b">
        <f t="shared" si="37"/>
        <v>0</v>
      </c>
      <c r="BP51" s="1" t="b">
        <f t="shared" si="38"/>
        <v>1</v>
      </c>
      <c r="BS51" s="1"/>
      <c r="BT51" s="1" t="b">
        <f t="shared" ref="BT51:BT68" si="46">AND((X51/$Z51)&gt;0.15,(X51/$Z51)&lt;0.25)</f>
        <v>0</v>
      </c>
      <c r="BU51" s="1" t="b">
        <f t="shared" si="39"/>
        <v>1</v>
      </c>
      <c r="BV51" s="1" t="b">
        <f t="shared" si="40"/>
        <v>1</v>
      </c>
      <c r="CH51" s="2"/>
    </row>
    <row r="52" spans="1:86" x14ac:dyDescent="0.2">
      <c r="A52">
        <f t="shared" si="6"/>
        <v>1998</v>
      </c>
      <c r="B52" s="2">
        <f t="shared" si="20"/>
        <v>85645.864502341632</v>
      </c>
      <c r="C52" s="2">
        <f t="shared" si="21"/>
        <v>87251.949498709015</v>
      </c>
      <c r="D52" s="2"/>
      <c r="E52" s="2"/>
      <c r="F52" s="2"/>
      <c r="G52" s="2">
        <f t="shared" ref="G52:G72" si="47">AY51*(1+(G14/100))</f>
        <v>14051.413169855654</v>
      </c>
      <c r="H52" s="2">
        <f t="shared" si="23"/>
        <v>77907.576850432917</v>
      </c>
      <c r="I52" s="2">
        <f t="shared" si="41"/>
        <v>264856.80402133922</v>
      </c>
      <c r="J52" s="2">
        <f t="shared" si="24"/>
        <v>26981.552683200454</v>
      </c>
      <c r="K52" s="83">
        <f t="shared" si="25"/>
        <v>0.11342732180594223</v>
      </c>
      <c r="L52" s="7">
        <f t="shared" si="26"/>
        <v>1.1134273218059423</v>
      </c>
      <c r="N52">
        <f t="shared" si="27"/>
        <v>1998</v>
      </c>
      <c r="O52" s="2">
        <f t="shared" si="28"/>
        <v>6985.8289580697347</v>
      </c>
      <c r="P52" s="2"/>
      <c r="Q52" s="2"/>
      <c r="R52">
        <f t="shared" si="29"/>
        <v>1998</v>
      </c>
      <c r="S52" s="2">
        <f>B52-($O52/4)</f>
        <v>83899.407262824199</v>
      </c>
      <c r="T52" s="2">
        <f>C52-($O52/4)</f>
        <v>85505.492259191582</v>
      </c>
      <c r="U52" s="2"/>
      <c r="V52" s="2"/>
      <c r="W52" s="2"/>
      <c r="X52" s="2">
        <f>G52-($O52/4)</f>
        <v>12304.955930338219</v>
      </c>
      <c r="Y52" s="2">
        <f>H52-($O52/4)</f>
        <v>76161.119610915484</v>
      </c>
      <c r="Z52" s="2">
        <f t="shared" si="44"/>
        <v>257870.97506326946</v>
      </c>
      <c r="AA52" s="2">
        <f t="shared" si="30"/>
        <v>26871.539628742641</v>
      </c>
      <c r="AB52" s="83">
        <f t="shared" si="31"/>
        <v>0.11632729568449079</v>
      </c>
      <c r="AC52" s="7">
        <f t="shared" si="32"/>
        <v>1.1163272956844907</v>
      </c>
      <c r="AD52" s="2">
        <f t="shared" si="45"/>
        <v>0</v>
      </c>
      <c r="AE52" s="2"/>
      <c r="AG52">
        <f t="shared" si="11"/>
        <v>1998</v>
      </c>
      <c r="AH52" s="6">
        <f t="shared" si="12"/>
        <v>0.32535420957026751</v>
      </c>
      <c r="AI52" s="6">
        <f t="shared" si="12"/>
        <v>0.33158245994227359</v>
      </c>
      <c r="AJ52" s="7"/>
      <c r="AK52" s="7"/>
      <c r="AL52" s="7"/>
      <c r="AM52" s="6">
        <f t="shared" si="13"/>
        <v>4.7717490994553226E-2</v>
      </c>
      <c r="AN52" s="6">
        <f t="shared" si="14"/>
        <v>0.29534583949290577</v>
      </c>
      <c r="AO52" s="6">
        <f t="shared" si="33"/>
        <v>1.0000000000000002</v>
      </c>
      <c r="AP52" s="7">
        <f t="shared" si="34"/>
        <v>0.7046541605070944</v>
      </c>
      <c r="AQ52" s="7">
        <f t="shared" si="35"/>
        <v>0</v>
      </c>
      <c r="AR52" s="7"/>
      <c r="AS52">
        <f t="shared" si="36"/>
        <v>1998</v>
      </c>
      <c r="AT52" s="2">
        <f t="shared" si="15"/>
        <v>83899.407262824199</v>
      </c>
      <c r="AU52" s="2">
        <f t="shared" si="15"/>
        <v>85505.492259191582</v>
      </c>
      <c r="AV52" s="2"/>
      <c r="AW52" s="2"/>
      <c r="AX52" s="2"/>
      <c r="AY52" s="2">
        <f>X52</f>
        <v>12304.955930338219</v>
      </c>
      <c r="AZ52" s="2">
        <f t="shared" si="17"/>
        <v>76161.119610915484</v>
      </c>
      <c r="BA52" s="2">
        <f t="shared" si="17"/>
        <v>257870.97506326946</v>
      </c>
      <c r="BB52" s="2">
        <f t="shared" si="18"/>
        <v>0</v>
      </c>
      <c r="BC52" s="2"/>
      <c r="BM52" s="24"/>
      <c r="BN52">
        <f t="shared" si="5"/>
        <v>1998</v>
      </c>
      <c r="BO52" s="28" t="b">
        <f t="shared" si="37"/>
        <v>0</v>
      </c>
      <c r="BP52" s="1" t="b">
        <f t="shared" si="38"/>
        <v>1</v>
      </c>
      <c r="BT52" s="1" t="b">
        <f t="shared" si="46"/>
        <v>0</v>
      </c>
      <c r="BU52" s="1" t="b">
        <f t="shared" si="39"/>
        <v>1</v>
      </c>
      <c r="BV52" s="1" t="b">
        <f t="shared" si="40"/>
        <v>1</v>
      </c>
      <c r="CH52" s="2"/>
    </row>
    <row r="53" spans="1:86" x14ac:dyDescent="0.2">
      <c r="A53">
        <f t="shared" si="6"/>
        <v>1999</v>
      </c>
      <c r="B53" s="2">
        <f t="shared" ref="B53:B72" si="48">AT52*(1+(B15/100))</f>
        <v>101577.01237310127</v>
      </c>
      <c r="C53" s="2"/>
      <c r="D53" s="2">
        <f>($AU52*0.6)*(1+(D15/100))</f>
        <v>59162.447171026281</v>
      </c>
      <c r="E53" s="2">
        <f>($AU52*0.4)*(1+(E15/100))</f>
        <v>42114.191113404151</v>
      </c>
      <c r="F53" s="2"/>
      <c r="G53" s="2">
        <f t="shared" si="47"/>
        <v>15986.475695136112</v>
      </c>
      <c r="H53" s="2">
        <f t="shared" si="23"/>
        <v>75582.295101872529</v>
      </c>
      <c r="I53" s="2">
        <f t="shared" si="41"/>
        <v>294422.42145454034</v>
      </c>
      <c r="J53" s="2">
        <f t="shared" si="24"/>
        <v>29565.617433201114</v>
      </c>
      <c r="K53" s="83">
        <f t="shared" si="25"/>
        <v>0.11162868759384049</v>
      </c>
      <c r="L53" s="7">
        <f t="shared" si="26"/>
        <v>1.1116286875938406</v>
      </c>
      <c r="N53">
        <f t="shared" si="27"/>
        <v>1999</v>
      </c>
      <c r="O53" s="2">
        <f t="shared" si="28"/>
        <v>7174.4463399376173</v>
      </c>
      <c r="P53" s="2"/>
      <c r="Q53" s="2"/>
      <c r="R53">
        <f t="shared" si="29"/>
        <v>1999</v>
      </c>
      <c r="S53" s="2">
        <f>B53-($O53/5)</f>
        <v>100142.12310511374</v>
      </c>
      <c r="T53" s="2"/>
      <c r="U53" s="2">
        <f>D53-($O53/5)</f>
        <v>57727.55790303876</v>
      </c>
      <c r="V53" s="2">
        <f>E53-($O53/5)</f>
        <v>40679.30184541663</v>
      </c>
      <c r="W53" s="2"/>
      <c r="X53" s="2">
        <f>G53-($O53/5)</f>
        <v>14551.586427148588</v>
      </c>
      <c r="Y53" s="2">
        <f>H53-($O53/5)</f>
        <v>74147.405833885001</v>
      </c>
      <c r="Z53" s="2">
        <f t="shared" si="44"/>
        <v>287247.97511460271</v>
      </c>
      <c r="AA53" s="2">
        <f t="shared" si="30"/>
        <v>29377.000051333249</v>
      </c>
      <c r="AB53" s="83">
        <f t="shared" si="31"/>
        <v>0.11392131295166316</v>
      </c>
      <c r="AC53" s="7">
        <f t="shared" si="32"/>
        <v>1.1139213129516632</v>
      </c>
      <c r="AD53" s="2">
        <f t="shared" si="45"/>
        <v>0</v>
      </c>
      <c r="AE53" s="2"/>
      <c r="AG53">
        <f t="shared" si="11"/>
        <v>1999</v>
      </c>
      <c r="AH53" s="6">
        <f t="shared" si="12"/>
        <v>0.34862603666800523</v>
      </c>
      <c r="AI53" s="7"/>
      <c r="AJ53" s="6">
        <f t="shared" ref="AJ53:AK68" si="49">U53/$Z53</f>
        <v>0.2009676756816382</v>
      </c>
      <c r="AK53" s="6">
        <f t="shared" si="49"/>
        <v>0.1416173667688585</v>
      </c>
      <c r="AL53" s="7"/>
      <c r="AM53" s="6">
        <f t="shared" si="13"/>
        <v>5.065862142750692E-2</v>
      </c>
      <c r="AN53" s="6">
        <f t="shared" si="14"/>
        <v>0.25813029945399119</v>
      </c>
      <c r="AO53" s="6">
        <f t="shared" si="33"/>
        <v>1</v>
      </c>
      <c r="AP53" s="7">
        <f t="shared" si="34"/>
        <v>0.74186970054600887</v>
      </c>
      <c r="AQ53" s="7">
        <f t="shared" si="35"/>
        <v>0</v>
      </c>
      <c r="AR53" s="7"/>
      <c r="AS53">
        <f t="shared" si="36"/>
        <v>1999</v>
      </c>
      <c r="AT53" s="2">
        <f>S53</f>
        <v>100142.12310511374</v>
      </c>
      <c r="AU53" s="2"/>
      <c r="AV53" s="2">
        <f t="shared" ref="AV53:AW55" si="50">U53</f>
        <v>57727.55790303876</v>
      </c>
      <c r="AW53" s="2">
        <f t="shared" si="50"/>
        <v>40679.30184541663</v>
      </c>
      <c r="AX53" s="2"/>
      <c r="AY53" s="2">
        <f>X53</f>
        <v>14551.586427148588</v>
      </c>
      <c r="AZ53" s="2">
        <f t="shared" si="17"/>
        <v>74147.405833885001</v>
      </c>
      <c r="BA53" s="2">
        <f t="shared" si="17"/>
        <v>287247.97511460271</v>
      </c>
      <c r="BB53" s="2">
        <f t="shared" si="18"/>
        <v>0</v>
      </c>
      <c r="BC53" s="2"/>
      <c r="BM53" s="24"/>
      <c r="BN53">
        <f t="shared" si="5"/>
        <v>1999</v>
      </c>
      <c r="BO53" s="1" t="b">
        <f t="shared" si="37"/>
        <v>0</v>
      </c>
      <c r="BQ53" s="1" t="b">
        <f>AND((U53/$Z53)&gt;0.15,(U53/$Z53)&lt;0.25)</f>
        <v>1</v>
      </c>
      <c r="BR53" s="1" t="b">
        <f>AND((V53/$Z53)&gt;0.05,(V53/$Z53)&lt;0.15)</f>
        <v>1</v>
      </c>
      <c r="BT53" s="1" t="b">
        <f t="shared" si="46"/>
        <v>0</v>
      </c>
      <c r="BU53" s="1" t="b">
        <f t="shared" si="39"/>
        <v>1</v>
      </c>
      <c r="BV53" s="1" t="b">
        <f t="shared" si="40"/>
        <v>1</v>
      </c>
      <c r="CH53" s="2"/>
    </row>
    <row r="54" spans="1:86" x14ac:dyDescent="0.2">
      <c r="A54">
        <f t="shared" si="6"/>
        <v>2000</v>
      </c>
      <c r="B54" s="2">
        <f t="shared" si="48"/>
        <v>91069.246751790444</v>
      </c>
      <c r="C54" s="2"/>
      <c r="D54" s="2">
        <f t="shared" ref="D54:D72" si="51">AV53*(1+(D16/100))</f>
        <v>68175.091332330703</v>
      </c>
      <c r="E54" s="2">
        <f t="shared" ref="E54:E72" si="52">AW53*(1+(E16/100))</f>
        <v>39595.198451236276</v>
      </c>
      <c r="F54" s="2"/>
      <c r="G54" s="2">
        <f t="shared" si="47"/>
        <v>12279.501722413608</v>
      </c>
      <c r="H54" s="2">
        <f t="shared" si="23"/>
        <v>82592.795358364514</v>
      </c>
      <c r="I54" s="2">
        <f t="shared" si="41"/>
        <v>293711.83361613553</v>
      </c>
      <c r="J54" s="2">
        <f t="shared" si="24"/>
        <v>-710.58783840481192</v>
      </c>
      <c r="K54" s="83">
        <f t="shared" si="25"/>
        <v>-2.413497704740971E-3</v>
      </c>
      <c r="L54" s="7">
        <f t="shared" si="26"/>
        <v>0.99758650229525903</v>
      </c>
      <c r="N54">
        <f t="shared" si="27"/>
        <v>2000</v>
      </c>
      <c r="O54" s="2">
        <f t="shared" si="28"/>
        <v>7418.3775154954965</v>
      </c>
      <c r="P54" s="2"/>
      <c r="Q54" s="2"/>
      <c r="R54">
        <f t="shared" si="29"/>
        <v>2000</v>
      </c>
      <c r="S54" s="2">
        <f t="shared" ref="S54:S71" si="53">B54-($O54/5)</f>
        <v>89585.57124869134</v>
      </c>
      <c r="T54" s="2"/>
      <c r="U54" s="2">
        <f t="shared" ref="U54:V69" si="54">D54-($O54/5)</f>
        <v>66691.415829231599</v>
      </c>
      <c r="V54" s="2">
        <f t="shared" si="54"/>
        <v>38111.522948137179</v>
      </c>
      <c r="W54" s="2"/>
      <c r="X54" s="2">
        <f t="shared" ref="X54:Y69" si="55">G54-($O54/5)</f>
        <v>10795.826219314509</v>
      </c>
      <c r="Y54" s="2">
        <f t="shared" si="55"/>
        <v>81109.11985526541</v>
      </c>
      <c r="Z54" s="2">
        <f t="shared" si="44"/>
        <v>286293.45610064</v>
      </c>
      <c r="AA54" s="2">
        <f t="shared" si="30"/>
        <v>-954.51901396270841</v>
      </c>
      <c r="AB54" s="83">
        <f t="shared" si="31"/>
        <v>-3.3229790865606135E-3</v>
      </c>
      <c r="AC54" s="7">
        <f t="shared" si="32"/>
        <v>0.99667702091343935</v>
      </c>
      <c r="AD54" s="2">
        <f t="shared" si="45"/>
        <v>0</v>
      </c>
      <c r="AE54" s="2"/>
      <c r="AG54">
        <f t="shared" si="11"/>
        <v>2000</v>
      </c>
      <c r="AH54" s="6">
        <f t="shared" si="12"/>
        <v>0.31291519012994679</v>
      </c>
      <c r="AI54" s="7"/>
      <c r="AJ54" s="6">
        <f t="shared" si="49"/>
        <v>0.23294774787233605</v>
      </c>
      <c r="AK54" s="6">
        <f t="shared" si="49"/>
        <v>0.13312048227445314</v>
      </c>
      <c r="AL54" s="7"/>
      <c r="AM54" s="6">
        <f t="shared" si="13"/>
        <v>3.7708952088375644E-2</v>
      </c>
      <c r="AN54" s="6">
        <f t="shared" si="14"/>
        <v>0.28330762763488848</v>
      </c>
      <c r="AO54" s="6">
        <f t="shared" si="33"/>
        <v>1</v>
      </c>
      <c r="AP54" s="7">
        <f t="shared" si="34"/>
        <v>0.71669237236511163</v>
      </c>
      <c r="AQ54" s="7">
        <f t="shared" si="35"/>
        <v>0</v>
      </c>
      <c r="AR54" s="7"/>
      <c r="AS54">
        <f t="shared" si="36"/>
        <v>2000</v>
      </c>
      <c r="AT54" s="2">
        <f>S54</f>
        <v>89585.57124869134</v>
      </c>
      <c r="AU54" s="2"/>
      <c r="AV54" s="2">
        <f t="shared" si="50"/>
        <v>66691.415829231599</v>
      </c>
      <c r="AW54" s="2">
        <f t="shared" si="50"/>
        <v>38111.522948137179</v>
      </c>
      <c r="AX54" s="2"/>
      <c r="AY54" s="2">
        <f>X54</f>
        <v>10795.826219314509</v>
      </c>
      <c r="AZ54" s="2">
        <f t="shared" si="17"/>
        <v>81109.11985526541</v>
      </c>
      <c r="BA54" s="2">
        <f t="shared" si="17"/>
        <v>286293.45610064</v>
      </c>
      <c r="BB54" s="2">
        <f t="shared" si="18"/>
        <v>0</v>
      </c>
      <c r="BC54" s="2"/>
      <c r="BM54" s="24"/>
      <c r="BN54">
        <f t="shared" si="5"/>
        <v>2000</v>
      </c>
      <c r="BO54" s="1" t="b">
        <f t="shared" si="37"/>
        <v>0</v>
      </c>
      <c r="BQ54" s="1" t="b">
        <f t="shared" ref="BQ54:BQ68" si="56">AND((U54/$Z54)&gt;0.15,(U54/$Z54)&lt;0.25)</f>
        <v>1</v>
      </c>
      <c r="BR54" s="1" t="b">
        <f t="shared" ref="BR54:BR68" si="57">AND((V54/$Z54)&gt;0.05,(V54/$Z54)&lt;0.15)</f>
        <v>1</v>
      </c>
      <c r="BT54" s="1" t="b">
        <f t="shared" si="46"/>
        <v>0</v>
      </c>
      <c r="BU54" s="1" t="b">
        <f t="shared" si="39"/>
        <v>1</v>
      </c>
      <c r="BV54" s="1" t="b">
        <f t="shared" si="40"/>
        <v>1</v>
      </c>
      <c r="CH54" s="2"/>
    </row>
    <row r="55" spans="1:86" x14ac:dyDescent="0.2">
      <c r="A55">
        <f t="shared" si="6"/>
        <v>2001</v>
      </c>
      <c r="B55" s="2">
        <f t="shared" si="48"/>
        <v>78817.38558459864</v>
      </c>
      <c r="C55" s="2"/>
      <c r="D55" s="2">
        <f t="shared" si="51"/>
        <v>66358.625664243737</v>
      </c>
      <c r="E55" s="2">
        <f t="shared" si="52"/>
        <v>39292.980159529427</v>
      </c>
      <c r="F55" s="2"/>
      <c r="G55" s="2">
        <f t="shared" si="47"/>
        <v>8620.1433613360568</v>
      </c>
      <c r="H55" s="2">
        <f t="shared" si="23"/>
        <v>87946.61865906429</v>
      </c>
      <c r="I55" s="2">
        <f t="shared" si="41"/>
        <v>281035.75342877215</v>
      </c>
      <c r="J55" s="2">
        <f t="shared" si="24"/>
        <v>-12676.080187363375</v>
      </c>
      <c r="K55" s="83">
        <f t="shared" si="25"/>
        <v>-4.3158220870086847E-2</v>
      </c>
      <c r="L55" s="7">
        <f t="shared" si="26"/>
        <v>0.95684177912991319</v>
      </c>
      <c r="N55">
        <f t="shared" si="27"/>
        <v>2001</v>
      </c>
      <c r="O55" s="2">
        <f t="shared" si="28"/>
        <v>7537.0715557434241</v>
      </c>
      <c r="P55" s="2"/>
      <c r="Q55" s="2"/>
      <c r="R55">
        <f t="shared" si="29"/>
        <v>2001</v>
      </c>
      <c r="S55" s="2">
        <f t="shared" si="53"/>
        <v>77309.971273449948</v>
      </c>
      <c r="T55" s="2"/>
      <c r="U55" s="2">
        <f t="shared" si="54"/>
        <v>64851.211353095052</v>
      </c>
      <c r="V55" s="2">
        <f t="shared" si="54"/>
        <v>37785.565848380742</v>
      </c>
      <c r="W55" s="2"/>
      <c r="X55" s="2">
        <f t="shared" si="55"/>
        <v>7112.7290501873722</v>
      </c>
      <c r="Y55" s="2">
        <f t="shared" si="55"/>
        <v>86439.204347915598</v>
      </c>
      <c r="Z55" s="2">
        <f t="shared" si="44"/>
        <v>273498.68187302869</v>
      </c>
      <c r="AA55" s="2">
        <f t="shared" si="30"/>
        <v>-12794.774227611313</v>
      </c>
      <c r="AB55" s="83">
        <f t="shared" si="31"/>
        <v>-4.4691116597207863E-2</v>
      </c>
      <c r="AC55" s="7">
        <f t="shared" si="32"/>
        <v>0.95530888340279219</v>
      </c>
      <c r="AD55" s="2">
        <f t="shared" si="45"/>
        <v>0</v>
      </c>
      <c r="AE55" s="2"/>
      <c r="AG55">
        <f t="shared" si="11"/>
        <v>2001</v>
      </c>
      <c r="AH55" s="6">
        <f t="shared" si="12"/>
        <v>0.28267036149498143</v>
      </c>
      <c r="AI55" s="7"/>
      <c r="AJ55" s="6">
        <f t="shared" si="49"/>
        <v>0.23711708922678509</v>
      </c>
      <c r="AK55" s="6">
        <f t="shared" si="49"/>
        <v>0.13815629965603501</v>
      </c>
      <c r="AL55" s="7"/>
      <c r="AM55" s="6">
        <f t="shared" si="13"/>
        <v>2.6006447276003489E-2</v>
      </c>
      <c r="AN55" s="6">
        <f t="shared" si="14"/>
        <v>0.31604980234619506</v>
      </c>
      <c r="AO55" s="6">
        <f t="shared" si="33"/>
        <v>1.0000000000000002</v>
      </c>
      <c r="AP55" s="7">
        <f t="shared" si="34"/>
        <v>0.68395019765380516</v>
      </c>
      <c r="AQ55" s="7">
        <f t="shared" si="35"/>
        <v>0</v>
      </c>
      <c r="AR55" s="7"/>
      <c r="AS55">
        <f t="shared" si="36"/>
        <v>2001</v>
      </c>
      <c r="AT55" s="2">
        <f>S55</f>
        <v>77309.971273449948</v>
      </c>
      <c r="AU55" s="2"/>
      <c r="AV55" s="2">
        <f t="shared" si="50"/>
        <v>64851.211353095052</v>
      </c>
      <c r="AW55" s="2">
        <f t="shared" si="50"/>
        <v>37785.565848380742</v>
      </c>
      <c r="AX55" s="2"/>
      <c r="AY55" s="2">
        <f>X55</f>
        <v>7112.7290501873722</v>
      </c>
      <c r="AZ55" s="2">
        <f t="shared" si="17"/>
        <v>86439.204347915598</v>
      </c>
      <c r="BA55" s="2">
        <f t="shared" si="17"/>
        <v>273498.68187302869</v>
      </c>
      <c r="BB55" s="2">
        <f t="shared" si="18"/>
        <v>0</v>
      </c>
      <c r="BC55" s="2"/>
      <c r="BM55" s="24"/>
      <c r="BN55">
        <f t="shared" si="5"/>
        <v>2001</v>
      </c>
      <c r="BO55" s="1" t="b">
        <f t="shared" si="37"/>
        <v>0</v>
      </c>
      <c r="BQ55" s="1" t="b">
        <f t="shared" si="56"/>
        <v>1</v>
      </c>
      <c r="BR55" s="1" t="b">
        <f t="shared" si="57"/>
        <v>1</v>
      </c>
      <c r="BT55" s="1" t="b">
        <f t="shared" si="46"/>
        <v>0</v>
      </c>
      <c r="BU55" s="1" t="b">
        <f t="shared" si="39"/>
        <v>1</v>
      </c>
      <c r="BV55" s="1" t="b">
        <f t="shared" si="40"/>
        <v>1</v>
      </c>
      <c r="CH55" s="2"/>
    </row>
    <row r="56" spans="1:86" x14ac:dyDescent="0.2">
      <c r="A56">
        <f t="shared" si="6"/>
        <v>2002</v>
      </c>
      <c r="B56" s="2">
        <f t="shared" si="48"/>
        <v>60185.812636380782</v>
      </c>
      <c r="C56" s="2"/>
      <c r="D56" s="2">
        <f t="shared" si="51"/>
        <v>55377.746398634925</v>
      </c>
      <c r="E56" s="2">
        <f t="shared" si="52"/>
        <v>30220.139854217952</v>
      </c>
      <c r="F56" s="2"/>
      <c r="G56" s="2">
        <f t="shared" si="47"/>
        <v>6039.9161275476108</v>
      </c>
      <c r="H56" s="2">
        <f t="shared" si="23"/>
        <v>93579.082627053431</v>
      </c>
      <c r="I56" s="2">
        <f t="shared" si="41"/>
        <v>245402.69764383469</v>
      </c>
      <c r="J56" s="2">
        <f t="shared" si="24"/>
        <v>-35633.05578493746</v>
      </c>
      <c r="K56" s="83">
        <f t="shared" si="25"/>
        <v>-0.12679189515994652</v>
      </c>
      <c r="L56" s="7">
        <f t="shared" si="26"/>
        <v>0.87320810484005351</v>
      </c>
      <c r="N56">
        <f t="shared" si="27"/>
        <v>2002</v>
      </c>
      <c r="O56" s="2">
        <f t="shared" si="28"/>
        <v>7725.4983446370088</v>
      </c>
      <c r="P56" s="2"/>
      <c r="Q56" s="2"/>
      <c r="R56">
        <f t="shared" si="29"/>
        <v>2002</v>
      </c>
      <c r="S56" s="2">
        <f t="shared" si="53"/>
        <v>58640.712967453379</v>
      </c>
      <c r="T56" s="2"/>
      <c r="U56" s="2">
        <f t="shared" si="54"/>
        <v>53832.646729707521</v>
      </c>
      <c r="V56" s="2">
        <f t="shared" si="54"/>
        <v>28675.040185290549</v>
      </c>
      <c r="W56" s="2"/>
      <c r="X56" s="2">
        <f t="shared" si="55"/>
        <v>4494.8164586202092</v>
      </c>
      <c r="Y56" s="2">
        <f t="shared" si="55"/>
        <v>92033.982958126027</v>
      </c>
      <c r="Z56" s="2">
        <f t="shared" si="44"/>
        <v>237677.1992991977</v>
      </c>
      <c r="AA56" s="2">
        <f t="shared" si="30"/>
        <v>-35821.482573830988</v>
      </c>
      <c r="AB56" s="83">
        <f t="shared" si="31"/>
        <v>-0.13097497336554279</v>
      </c>
      <c r="AC56" s="7">
        <f t="shared" si="32"/>
        <v>0.86902502663445724</v>
      </c>
      <c r="AD56" s="2">
        <f t="shared" si="45"/>
        <v>0</v>
      </c>
      <c r="AE56" s="2"/>
      <c r="AG56">
        <f t="shared" si="11"/>
        <v>2002</v>
      </c>
      <c r="AH56" s="6">
        <f t="shared" si="12"/>
        <v>0.24672418364217624</v>
      </c>
      <c r="AI56" s="7"/>
      <c r="AJ56" s="6">
        <f t="shared" si="49"/>
        <v>0.22649478741938894</v>
      </c>
      <c r="AK56" s="6">
        <f t="shared" si="49"/>
        <v>0.12064699630355895</v>
      </c>
      <c r="AL56" s="7"/>
      <c r="AM56" s="6">
        <f t="shared" si="13"/>
        <v>1.8911433119682432E-2</v>
      </c>
      <c r="AN56" s="6">
        <f t="shared" si="14"/>
        <v>0.38722259951519333</v>
      </c>
      <c r="AO56" s="6">
        <f t="shared" si="33"/>
        <v>0.99999999999999989</v>
      </c>
      <c r="AP56" s="7">
        <f t="shared" si="34"/>
        <v>0.61277740048480656</v>
      </c>
      <c r="AQ56" s="7">
        <f t="shared" si="35"/>
        <v>0</v>
      </c>
      <c r="AR56" s="7"/>
      <c r="AS56">
        <f t="shared" si="36"/>
        <v>2002</v>
      </c>
      <c r="AT56" s="40">
        <v>0</v>
      </c>
      <c r="AU56" s="40"/>
      <c r="AV56" s="40">
        <v>0</v>
      </c>
      <c r="AW56" s="40">
        <v>0</v>
      </c>
      <c r="AX56" s="40"/>
      <c r="AY56" s="40">
        <v>0</v>
      </c>
      <c r="AZ56" s="40">
        <f>Z56</f>
        <v>237677.1992991977</v>
      </c>
      <c r="BA56" s="2">
        <f t="shared" si="17"/>
        <v>237677.1992991977</v>
      </c>
      <c r="BB56" s="2">
        <f t="shared" si="18"/>
        <v>0</v>
      </c>
      <c r="BC56" s="2"/>
      <c r="BM56" s="24"/>
      <c r="BN56">
        <f t="shared" si="5"/>
        <v>2002</v>
      </c>
      <c r="BO56" s="28" t="b">
        <f t="shared" si="37"/>
        <v>1</v>
      </c>
      <c r="BQ56" s="1" t="b">
        <f t="shared" si="56"/>
        <v>1</v>
      </c>
      <c r="BR56" s="1" t="b">
        <f t="shared" si="57"/>
        <v>1</v>
      </c>
      <c r="BT56" s="28" t="b">
        <f t="shared" si="46"/>
        <v>0</v>
      </c>
      <c r="BU56" s="28" t="b">
        <f t="shared" si="39"/>
        <v>0</v>
      </c>
      <c r="BV56" s="1" t="b">
        <f t="shared" si="40"/>
        <v>1</v>
      </c>
      <c r="CH56" s="2"/>
    </row>
    <row r="57" spans="1:86" x14ac:dyDescent="0.2">
      <c r="A57">
        <f t="shared" si="6"/>
        <v>2003</v>
      </c>
      <c r="B57" s="2">
        <f t="shared" si="48"/>
        <v>0</v>
      </c>
      <c r="C57" s="2"/>
      <c r="D57" s="2">
        <f t="shared" si="51"/>
        <v>0</v>
      </c>
      <c r="E57" s="2">
        <f t="shared" si="52"/>
        <v>0</v>
      </c>
      <c r="F57" s="2"/>
      <c r="G57" s="2">
        <f t="shared" si="47"/>
        <v>0</v>
      </c>
      <c r="H57" s="2">
        <f t="shared" si="23"/>
        <v>247112.98411137587</v>
      </c>
      <c r="I57" s="2">
        <f t="shared" si="41"/>
        <v>247112.98411137587</v>
      </c>
      <c r="J57" s="2">
        <f t="shared" si="24"/>
        <v>1710.2864675411838</v>
      </c>
      <c r="K57" s="83">
        <f t="shared" si="25"/>
        <v>6.9693058958276363E-3</v>
      </c>
      <c r="L57" s="7">
        <f t="shared" si="26"/>
        <v>1.0069693058958276</v>
      </c>
      <c r="N57">
        <f t="shared" si="27"/>
        <v>2003</v>
      </c>
      <c r="O57" s="2">
        <f t="shared" si="28"/>
        <v>7880.0083115297493</v>
      </c>
      <c r="P57" s="2"/>
      <c r="Q57" s="2"/>
      <c r="R57">
        <f t="shared" si="29"/>
        <v>2003</v>
      </c>
      <c r="S57" s="40">
        <v>0</v>
      </c>
      <c r="T57" s="40"/>
      <c r="U57" s="40">
        <v>0</v>
      </c>
      <c r="V57" s="40">
        <v>0</v>
      </c>
      <c r="W57" s="40"/>
      <c r="X57" s="40">
        <v>0</v>
      </c>
      <c r="Y57" s="40">
        <f>H57-($O57)</f>
        <v>239232.97579984611</v>
      </c>
      <c r="Z57" s="2">
        <f t="shared" si="44"/>
        <v>239232.97579984611</v>
      </c>
      <c r="AA57" s="2">
        <f t="shared" si="30"/>
        <v>1555.7765006484115</v>
      </c>
      <c r="AB57" s="83">
        <f t="shared" si="31"/>
        <v>6.5457540952000908E-3</v>
      </c>
      <c r="AC57" s="7">
        <f t="shared" si="32"/>
        <v>1.0065457540952001</v>
      </c>
      <c r="AD57" s="2">
        <f t="shared" si="45"/>
        <v>0</v>
      </c>
      <c r="AE57" s="2"/>
      <c r="AG57">
        <f t="shared" si="11"/>
        <v>2003</v>
      </c>
      <c r="AH57" s="38">
        <f t="shared" ref="AH57:AH71" si="58">S57/$Z57</f>
        <v>0</v>
      </c>
      <c r="AI57" s="61"/>
      <c r="AJ57" s="38">
        <f t="shared" si="49"/>
        <v>0</v>
      </c>
      <c r="AK57" s="38">
        <f t="shared" si="49"/>
        <v>0</v>
      </c>
      <c r="AL57" s="61"/>
      <c r="AM57" s="38">
        <f t="shared" ref="AM57:AM71" si="59">X57/$Z57</f>
        <v>0</v>
      </c>
      <c r="AN57" s="38">
        <f t="shared" si="14"/>
        <v>1</v>
      </c>
      <c r="AO57" s="6">
        <f t="shared" si="33"/>
        <v>1</v>
      </c>
      <c r="AP57" s="7">
        <f t="shared" si="34"/>
        <v>0</v>
      </c>
      <c r="AQ57" s="7">
        <f t="shared" si="35"/>
        <v>0</v>
      </c>
      <c r="AR57" s="7"/>
      <c r="AS57">
        <f t="shared" si="36"/>
        <v>2003</v>
      </c>
      <c r="AT57" s="40">
        <f>$Z57*AT$41</f>
        <v>47846.595159969227</v>
      </c>
      <c r="AU57" s="40"/>
      <c r="AV57" s="40">
        <f>$Z57*AV$41</f>
        <v>35884.946369976919</v>
      </c>
      <c r="AW57" s="40">
        <f>$Z57*AW$41</f>
        <v>23923.297579984614</v>
      </c>
      <c r="AX57" s="40"/>
      <c r="AY57" s="40">
        <f>$Z57*AY$41</f>
        <v>35884.946369976919</v>
      </c>
      <c r="AZ57" s="40">
        <f>$Z57*AZ$41</f>
        <v>95693.190319938454</v>
      </c>
      <c r="BA57" s="2">
        <f t="shared" si="17"/>
        <v>239232.97579984611</v>
      </c>
      <c r="BB57" s="2">
        <f t="shared" si="18"/>
        <v>0</v>
      </c>
      <c r="BC57" s="2"/>
      <c r="BM57" s="24"/>
      <c r="BN57">
        <f t="shared" si="5"/>
        <v>2003</v>
      </c>
      <c r="BO57" s="1" t="b">
        <f t="shared" si="37"/>
        <v>0</v>
      </c>
      <c r="BQ57" s="1" t="b">
        <f t="shared" si="56"/>
        <v>0</v>
      </c>
      <c r="BR57" s="1" t="b">
        <f t="shared" si="57"/>
        <v>0</v>
      </c>
      <c r="BT57" s="1" t="b">
        <f t="shared" si="46"/>
        <v>0</v>
      </c>
      <c r="BU57" s="28" t="b">
        <f t="shared" si="39"/>
        <v>0</v>
      </c>
      <c r="BV57" s="1" t="b">
        <f t="shared" si="40"/>
        <v>1</v>
      </c>
      <c r="CH57" s="2"/>
    </row>
    <row r="58" spans="1:86" x14ac:dyDescent="0.2">
      <c r="A58">
        <f t="shared" si="6"/>
        <v>2004</v>
      </c>
      <c r="B58" s="2">
        <f t="shared" si="48"/>
        <v>52985.319480149919</v>
      </c>
      <c r="C58" s="2"/>
      <c r="D58" s="2">
        <f t="shared" si="51"/>
        <v>43188.609504658321</v>
      </c>
      <c r="E58" s="2">
        <f t="shared" si="52"/>
        <v>28683.316099474156</v>
      </c>
      <c r="F58" s="2"/>
      <c r="G58" s="2">
        <f t="shared" si="47"/>
        <v>43362.292645089008</v>
      </c>
      <c r="H58" s="2">
        <f t="shared" si="23"/>
        <v>99750.581589503839</v>
      </c>
      <c r="I58" s="2">
        <f t="shared" si="41"/>
        <v>267970.11931887525</v>
      </c>
      <c r="J58" s="2">
        <f>I58-I57</f>
        <v>20857.135207499377</v>
      </c>
      <c r="K58" s="83">
        <f>(J58/I57)</f>
        <v>8.4403234749085038E-2</v>
      </c>
      <c r="L58" s="7">
        <f t="shared" si="26"/>
        <v>1.0844032347490851</v>
      </c>
      <c r="N58">
        <f t="shared" si="27"/>
        <v>2004</v>
      </c>
      <c r="O58" s="2">
        <f t="shared" si="28"/>
        <v>8140.0485858102302</v>
      </c>
      <c r="P58" s="2"/>
      <c r="Q58" s="2"/>
      <c r="R58">
        <f t="shared" si="29"/>
        <v>2004</v>
      </c>
      <c r="S58" s="2">
        <f t="shared" si="53"/>
        <v>51357.309762987876</v>
      </c>
      <c r="T58" s="2"/>
      <c r="U58" s="2">
        <f t="shared" si="54"/>
        <v>41560.599787496278</v>
      </c>
      <c r="V58" s="2">
        <f t="shared" si="54"/>
        <v>27055.306382312108</v>
      </c>
      <c r="W58" s="2"/>
      <c r="X58" s="2">
        <f t="shared" si="55"/>
        <v>41734.282927926964</v>
      </c>
      <c r="Y58" s="2">
        <f t="shared" si="55"/>
        <v>98122.571872341796</v>
      </c>
      <c r="Z58" s="2">
        <f t="shared" si="44"/>
        <v>259830.07073306502</v>
      </c>
      <c r="AA58" s="2">
        <f>Z58-Z57</f>
        <v>20597.094933218905</v>
      </c>
      <c r="AB58" s="83">
        <f>(AA58/Z57)</f>
        <v>8.6096387274183436E-2</v>
      </c>
      <c r="AC58" s="7">
        <f t="shared" si="32"/>
        <v>1.0860963872741833</v>
      </c>
      <c r="AD58" s="2">
        <f t="shared" si="45"/>
        <v>0</v>
      </c>
      <c r="AE58" s="2"/>
      <c r="AG58">
        <f t="shared" si="11"/>
        <v>2004</v>
      </c>
      <c r="AH58" s="6">
        <f t="shared" si="58"/>
        <v>0.19765729816449737</v>
      </c>
      <c r="AI58" s="7"/>
      <c r="AJ58" s="6">
        <f t="shared" si="49"/>
        <v>0.1599530018609483</v>
      </c>
      <c r="AK58" s="6">
        <f t="shared" si="49"/>
        <v>0.10412692536310482</v>
      </c>
      <c r="AL58" s="7"/>
      <c r="AM58" s="6">
        <f t="shared" si="59"/>
        <v>0.16062145082045737</v>
      </c>
      <c r="AN58" s="6">
        <f t="shared" si="14"/>
        <v>0.37764132379099213</v>
      </c>
      <c r="AO58" s="6">
        <f t="shared" si="33"/>
        <v>1</v>
      </c>
      <c r="AP58" s="7">
        <f t="shared" si="34"/>
        <v>0.62235867620900787</v>
      </c>
      <c r="AQ58" s="7">
        <f t="shared" si="35"/>
        <v>0</v>
      </c>
      <c r="AR58" s="7"/>
      <c r="AS58">
        <f t="shared" si="36"/>
        <v>2004</v>
      </c>
      <c r="AT58" s="2">
        <f>S58</f>
        <v>51357.309762987876</v>
      </c>
      <c r="AU58" s="2"/>
      <c r="AV58" s="2">
        <f t="shared" ref="AV58:AW61" si="60">U58</f>
        <v>41560.599787496278</v>
      </c>
      <c r="AW58" s="2">
        <f t="shared" si="60"/>
        <v>27055.306382312108</v>
      </c>
      <c r="AX58" s="2"/>
      <c r="AY58" s="2">
        <f t="shared" ref="AY58:BA71" si="61">X58</f>
        <v>41734.282927926964</v>
      </c>
      <c r="AZ58" s="2">
        <f t="shared" si="61"/>
        <v>98122.571872341796</v>
      </c>
      <c r="BA58" s="2">
        <f t="shared" si="61"/>
        <v>259830.07073306502</v>
      </c>
      <c r="BB58" s="2">
        <f t="shared" si="18"/>
        <v>0</v>
      </c>
      <c r="BC58" s="2"/>
      <c r="BM58" s="24"/>
      <c r="BN58">
        <f t="shared" si="5"/>
        <v>2004</v>
      </c>
      <c r="BO58" s="1" t="b">
        <f t="shared" si="37"/>
        <v>1</v>
      </c>
      <c r="BQ58" s="1" t="b">
        <f t="shared" si="56"/>
        <v>1</v>
      </c>
      <c r="BR58" s="1" t="b">
        <f t="shared" si="57"/>
        <v>1</v>
      </c>
      <c r="BT58" s="1" t="b">
        <f t="shared" si="46"/>
        <v>1</v>
      </c>
      <c r="BU58" s="1" t="b">
        <f t="shared" si="39"/>
        <v>0</v>
      </c>
      <c r="BV58" s="1" t="b">
        <f t="shared" si="40"/>
        <v>1</v>
      </c>
      <c r="CH58" s="2"/>
    </row>
    <row r="59" spans="1:86" x14ac:dyDescent="0.2">
      <c r="A59">
        <f t="shared" si="6"/>
        <v>2005</v>
      </c>
      <c r="B59" s="2">
        <f t="shared" si="48"/>
        <v>53807.0534386824</v>
      </c>
      <c r="C59" s="2"/>
      <c r="D59" s="2">
        <f t="shared" si="51"/>
        <v>47350.406943892383</v>
      </c>
      <c r="E59" s="2">
        <f t="shared" si="52"/>
        <v>29047.38859124175</v>
      </c>
      <c r="F59" s="2"/>
      <c r="G59" s="2">
        <f t="shared" si="47"/>
        <v>48232.728122634471</v>
      </c>
      <c r="H59" s="2">
        <f t="shared" si="23"/>
        <v>100477.513597278</v>
      </c>
      <c r="I59" s="2">
        <f t="shared" si="41"/>
        <v>278915.090693729</v>
      </c>
      <c r="J59" s="2">
        <f t="shared" si="24"/>
        <v>10944.971374853747</v>
      </c>
      <c r="K59" s="83">
        <f t="shared" si="25"/>
        <v>4.084399933348392E-2</v>
      </c>
      <c r="L59" s="7">
        <f t="shared" si="26"/>
        <v>1.0408439993334839</v>
      </c>
      <c r="N59">
        <f t="shared" si="27"/>
        <v>2005</v>
      </c>
      <c r="O59" s="2">
        <f t="shared" si="28"/>
        <v>8408.6701891419671</v>
      </c>
      <c r="P59" s="2"/>
      <c r="Q59" s="2"/>
      <c r="R59">
        <f t="shared" si="29"/>
        <v>2005</v>
      </c>
      <c r="S59" s="2">
        <f t="shared" si="53"/>
        <v>52125.319400854009</v>
      </c>
      <c r="T59" s="2"/>
      <c r="U59" s="2">
        <f t="shared" si="54"/>
        <v>45668.672906063992</v>
      </c>
      <c r="V59" s="2">
        <f t="shared" si="54"/>
        <v>27365.654553413355</v>
      </c>
      <c r="W59" s="2"/>
      <c r="X59" s="2">
        <f t="shared" si="55"/>
        <v>46550.99408480608</v>
      </c>
      <c r="Y59" s="2">
        <f t="shared" si="55"/>
        <v>98795.779559449598</v>
      </c>
      <c r="Z59" s="2">
        <f t="shared" si="44"/>
        <v>270506.420504587</v>
      </c>
      <c r="AA59" s="2">
        <f t="shared" ref="AA59:AA71" si="62">Z59-Z58</f>
        <v>10676.349771521986</v>
      </c>
      <c r="AB59" s="83">
        <f t="shared" ref="AB59:AB71" si="63">(AA59/Z58)</f>
        <v>4.1089738925908517E-2</v>
      </c>
      <c r="AC59" s="7">
        <f t="shared" si="32"/>
        <v>1.0410897389259086</v>
      </c>
      <c r="AD59" s="2">
        <f t="shared" si="45"/>
        <v>0</v>
      </c>
      <c r="AE59" s="2"/>
      <c r="AG59">
        <f t="shared" si="11"/>
        <v>2005</v>
      </c>
      <c r="AH59" s="6">
        <f t="shared" si="58"/>
        <v>0.19269531312278082</v>
      </c>
      <c r="AI59" s="7"/>
      <c r="AJ59" s="6">
        <f t="shared" si="49"/>
        <v>0.16882657654068356</v>
      </c>
      <c r="AK59" s="6">
        <f t="shared" si="49"/>
        <v>0.10116452874710719</v>
      </c>
      <c r="AL59" s="7"/>
      <c r="AM59" s="6">
        <f t="shared" si="59"/>
        <v>0.17208831493896726</v>
      </c>
      <c r="AN59" s="6">
        <f t="shared" si="14"/>
        <v>0.36522526665046129</v>
      </c>
      <c r="AO59" s="6">
        <f t="shared" si="33"/>
        <v>1</v>
      </c>
      <c r="AP59" s="7">
        <f t="shared" si="34"/>
        <v>0.63477473334953882</v>
      </c>
      <c r="AQ59" s="7">
        <f t="shared" si="35"/>
        <v>0</v>
      </c>
      <c r="AR59" s="7"/>
      <c r="AS59">
        <f t="shared" si="36"/>
        <v>2005</v>
      </c>
      <c r="AT59" s="2">
        <f>S59</f>
        <v>52125.319400854009</v>
      </c>
      <c r="AU59" s="2"/>
      <c r="AV59" s="2">
        <f t="shared" si="60"/>
        <v>45668.672906063992</v>
      </c>
      <c r="AW59" s="2">
        <f t="shared" si="60"/>
        <v>27365.654553413355</v>
      </c>
      <c r="AX59" s="2"/>
      <c r="AY59" s="2">
        <f t="shared" si="61"/>
        <v>46550.99408480608</v>
      </c>
      <c r="AZ59" s="2">
        <f t="shared" si="61"/>
        <v>98795.779559449598</v>
      </c>
      <c r="BA59" s="2">
        <f t="shared" si="61"/>
        <v>270506.420504587</v>
      </c>
      <c r="BB59" s="2">
        <f t="shared" si="18"/>
        <v>0</v>
      </c>
      <c r="BC59" s="2"/>
      <c r="BM59" s="24"/>
      <c r="BN59">
        <f t="shared" si="5"/>
        <v>2005</v>
      </c>
      <c r="BO59" s="1" t="b">
        <f t="shared" si="37"/>
        <v>1</v>
      </c>
      <c r="BQ59" s="1" t="b">
        <f t="shared" si="56"/>
        <v>1</v>
      </c>
      <c r="BR59" s="1" t="b">
        <f t="shared" si="57"/>
        <v>1</v>
      </c>
      <c r="BT59" s="1" t="b">
        <f t="shared" si="46"/>
        <v>1</v>
      </c>
      <c r="BU59" s="1" t="b">
        <f t="shared" si="39"/>
        <v>0</v>
      </c>
      <c r="BV59" s="1" t="b">
        <f t="shared" si="40"/>
        <v>1</v>
      </c>
      <c r="CH59" s="2"/>
    </row>
    <row r="60" spans="1:86" x14ac:dyDescent="0.2">
      <c r="A60">
        <f t="shared" si="6"/>
        <v>2006</v>
      </c>
      <c r="B60" s="2">
        <f t="shared" si="48"/>
        <v>60277.719355147579</v>
      </c>
      <c r="C60" s="2"/>
      <c r="D60" s="2">
        <f t="shared" si="51"/>
        <v>51878.242361101511</v>
      </c>
      <c r="E60" s="2">
        <f t="shared" si="52"/>
        <v>31650.02143029575</v>
      </c>
      <c r="F60" s="2"/>
      <c r="G60" s="2">
        <f t="shared" si="47"/>
        <v>58950.782379175878</v>
      </c>
      <c r="H60" s="2">
        <f t="shared" si="23"/>
        <v>103014.3593466381</v>
      </c>
      <c r="I60" s="2">
        <f t="shared" si="41"/>
        <v>305771.12487235881</v>
      </c>
      <c r="J60" s="2">
        <f t="shared" si="24"/>
        <v>26856.034178629809</v>
      </c>
      <c r="K60" s="83">
        <f t="shared" si="25"/>
        <v>9.6287490618856025E-2</v>
      </c>
      <c r="L60" s="7">
        <f t="shared" si="26"/>
        <v>1.096287490618856</v>
      </c>
      <c r="N60">
        <f t="shared" si="27"/>
        <v>2006</v>
      </c>
      <c r="O60" s="2">
        <f t="shared" si="28"/>
        <v>8618.8869438705151</v>
      </c>
      <c r="P60" s="2"/>
      <c r="Q60" s="2"/>
      <c r="R60">
        <f t="shared" si="29"/>
        <v>2006</v>
      </c>
      <c r="S60" s="2">
        <f t="shared" si="53"/>
        <v>58553.941966373473</v>
      </c>
      <c r="T60" s="2"/>
      <c r="U60" s="2">
        <f t="shared" si="54"/>
        <v>50154.464972327405</v>
      </c>
      <c r="V60" s="2">
        <f t="shared" si="54"/>
        <v>29926.244041521648</v>
      </c>
      <c r="W60" s="2"/>
      <c r="X60" s="2">
        <f t="shared" si="55"/>
        <v>57227.004990401772</v>
      </c>
      <c r="Y60" s="2">
        <f t="shared" si="55"/>
        <v>101290.58195786399</v>
      </c>
      <c r="Z60" s="2">
        <f t="shared" si="44"/>
        <v>297152.23792848829</v>
      </c>
      <c r="AA60" s="2">
        <f t="shared" si="62"/>
        <v>26645.817423901288</v>
      </c>
      <c r="AB60" s="83">
        <f t="shared" si="63"/>
        <v>9.8503456495404887E-2</v>
      </c>
      <c r="AC60" s="7">
        <f t="shared" si="32"/>
        <v>1.0985034564954048</v>
      </c>
      <c r="AD60" s="2">
        <f t="shared" si="45"/>
        <v>0</v>
      </c>
      <c r="AE60" s="2"/>
      <c r="AG60">
        <f t="shared" si="11"/>
        <v>2006</v>
      </c>
      <c r="AH60" s="6">
        <f t="shared" si="58"/>
        <v>0.19705031459485384</v>
      </c>
      <c r="AI60" s="7"/>
      <c r="AJ60" s="6">
        <f t="shared" si="49"/>
        <v>0.16878373631632354</v>
      </c>
      <c r="AK60" s="6">
        <f t="shared" si="49"/>
        <v>0.10071014187927335</v>
      </c>
      <c r="AL60" s="7"/>
      <c r="AM60" s="6">
        <f t="shared" si="59"/>
        <v>0.19258480228634131</v>
      </c>
      <c r="AN60" s="6">
        <f t="shared" si="14"/>
        <v>0.34087100492320793</v>
      </c>
      <c r="AO60" s="6">
        <f t="shared" si="33"/>
        <v>1</v>
      </c>
      <c r="AP60" s="7">
        <f t="shared" si="34"/>
        <v>0.65912899507679201</v>
      </c>
      <c r="AQ60" s="7">
        <f t="shared" si="35"/>
        <v>0</v>
      </c>
      <c r="AR60" s="7"/>
      <c r="AS60">
        <f t="shared" si="36"/>
        <v>2006</v>
      </c>
      <c r="AT60" s="2">
        <f>S60</f>
        <v>58553.941966373473</v>
      </c>
      <c r="AU60" s="2"/>
      <c r="AV60" s="2">
        <f t="shared" si="60"/>
        <v>50154.464972327405</v>
      </c>
      <c r="AW60" s="2">
        <f t="shared" si="60"/>
        <v>29926.244041521648</v>
      </c>
      <c r="AX60" s="2"/>
      <c r="AY60" s="2">
        <f t="shared" si="61"/>
        <v>57227.004990401772</v>
      </c>
      <c r="AZ60" s="2">
        <f t="shared" si="61"/>
        <v>101290.58195786399</v>
      </c>
      <c r="BA60" s="2">
        <f t="shared" si="61"/>
        <v>297152.23792848829</v>
      </c>
      <c r="BB60" s="2">
        <f t="shared" si="18"/>
        <v>0</v>
      </c>
      <c r="BC60" s="2"/>
      <c r="BM60" s="24"/>
      <c r="BN60">
        <f t="shared" si="5"/>
        <v>2006</v>
      </c>
      <c r="BO60" s="1" t="b">
        <f t="shared" si="37"/>
        <v>1</v>
      </c>
      <c r="BQ60" s="1" t="b">
        <f t="shared" si="56"/>
        <v>1</v>
      </c>
      <c r="BR60" s="1" t="b">
        <f t="shared" si="57"/>
        <v>1</v>
      </c>
      <c r="BT60" s="28" t="b">
        <f t="shared" si="46"/>
        <v>1</v>
      </c>
      <c r="BU60" s="28" t="b">
        <f t="shared" si="39"/>
        <v>1</v>
      </c>
      <c r="BV60" s="1" t="b">
        <f t="shared" si="40"/>
        <v>1</v>
      </c>
      <c r="CH60" s="2"/>
    </row>
    <row r="61" spans="1:86" x14ac:dyDescent="0.2">
      <c r="A61">
        <f t="shared" si="6"/>
        <v>2007</v>
      </c>
      <c r="B61" s="2">
        <f t="shared" si="48"/>
        <v>61709.99943836101</v>
      </c>
      <c r="C61" s="2"/>
      <c r="D61" s="2">
        <f t="shared" si="51"/>
        <v>53174.265308311245</v>
      </c>
      <c r="E61" s="2">
        <f t="shared" si="52"/>
        <v>30272.191422641637</v>
      </c>
      <c r="F61" s="2"/>
      <c r="G61" s="2">
        <f t="shared" si="47"/>
        <v>66109.78070501193</v>
      </c>
      <c r="H61" s="2">
        <f t="shared" si="23"/>
        <v>108299.89022934818</v>
      </c>
      <c r="I61" s="2">
        <f t="shared" si="41"/>
        <v>319566.12710367399</v>
      </c>
      <c r="J61" s="2">
        <f t="shared" si="24"/>
        <v>13795.002231315186</v>
      </c>
      <c r="K61" s="83">
        <f t="shared" si="25"/>
        <v>4.5115451097855544E-2</v>
      </c>
      <c r="L61" s="7">
        <f t="shared" si="26"/>
        <v>1.0451154510978555</v>
      </c>
      <c r="N61">
        <f t="shared" si="27"/>
        <v>2007</v>
      </c>
      <c r="O61" s="2">
        <f t="shared" si="28"/>
        <v>8972.2613085692064</v>
      </c>
      <c r="P61" s="2"/>
      <c r="Q61" s="2"/>
      <c r="R61">
        <f t="shared" si="29"/>
        <v>2007</v>
      </c>
      <c r="S61" s="2">
        <f t="shared" si="53"/>
        <v>59915.547176647167</v>
      </c>
      <c r="T61" s="2"/>
      <c r="U61" s="2">
        <f t="shared" si="54"/>
        <v>51379.813046597403</v>
      </c>
      <c r="V61" s="2">
        <f t="shared" si="54"/>
        <v>28477.739160927795</v>
      </c>
      <c r="W61" s="2"/>
      <c r="X61" s="2">
        <f t="shared" si="55"/>
        <v>64315.328443298087</v>
      </c>
      <c r="Y61" s="2">
        <f t="shared" si="55"/>
        <v>106505.43796763434</v>
      </c>
      <c r="Z61" s="2">
        <f t="shared" si="44"/>
        <v>310593.86579510476</v>
      </c>
      <c r="AA61" s="2">
        <f t="shared" si="62"/>
        <v>13441.627866616473</v>
      </c>
      <c r="AB61" s="83">
        <f t="shared" si="63"/>
        <v>4.5234819566969883E-2</v>
      </c>
      <c r="AC61" s="7">
        <f t="shared" si="32"/>
        <v>1.0452348195669698</v>
      </c>
      <c r="AD61" s="2">
        <f t="shared" si="45"/>
        <v>0</v>
      </c>
      <c r="AE61" s="2"/>
      <c r="AG61">
        <f t="shared" si="11"/>
        <v>2007</v>
      </c>
      <c r="AH61" s="6">
        <f t="shared" si="58"/>
        <v>0.19290640857721503</v>
      </c>
      <c r="AI61" s="7"/>
      <c r="AJ61" s="6">
        <f t="shared" si="49"/>
        <v>0.16542442947180444</v>
      </c>
      <c r="AK61" s="6">
        <f t="shared" si="49"/>
        <v>9.1688028313199957E-2</v>
      </c>
      <c r="AL61" s="7"/>
      <c r="AM61" s="6">
        <f t="shared" si="59"/>
        <v>0.20707211418568766</v>
      </c>
      <c r="AN61" s="6">
        <f t="shared" si="14"/>
        <v>0.34290901945209301</v>
      </c>
      <c r="AO61" s="6">
        <f t="shared" si="33"/>
        <v>1</v>
      </c>
      <c r="AP61" s="7">
        <f t="shared" si="34"/>
        <v>0.65709098054790704</v>
      </c>
      <c r="AQ61" s="7">
        <f t="shared" si="35"/>
        <v>0</v>
      </c>
      <c r="AR61" s="7"/>
      <c r="AS61">
        <f t="shared" si="36"/>
        <v>2007</v>
      </c>
      <c r="AT61" s="2">
        <f>S61</f>
        <v>59915.547176647167</v>
      </c>
      <c r="AU61" s="2"/>
      <c r="AV61" s="2">
        <f t="shared" si="60"/>
        <v>51379.813046597403</v>
      </c>
      <c r="AW61" s="2">
        <f t="shared" si="60"/>
        <v>28477.739160927795</v>
      </c>
      <c r="AX61" s="2"/>
      <c r="AY61" s="2">
        <f t="shared" si="61"/>
        <v>64315.328443298087</v>
      </c>
      <c r="AZ61" s="2">
        <f t="shared" si="61"/>
        <v>106505.43796763434</v>
      </c>
      <c r="BA61" s="2">
        <f t="shared" si="61"/>
        <v>310593.86579510476</v>
      </c>
      <c r="BB61" s="2">
        <f t="shared" si="18"/>
        <v>0</v>
      </c>
      <c r="BC61" s="2"/>
      <c r="BM61" s="24"/>
      <c r="BN61">
        <f t="shared" si="5"/>
        <v>2007</v>
      </c>
      <c r="BO61" s="1" t="b">
        <f t="shared" si="37"/>
        <v>1</v>
      </c>
      <c r="BQ61" s="1" t="b">
        <f t="shared" si="56"/>
        <v>1</v>
      </c>
      <c r="BR61" s="1" t="b">
        <f t="shared" si="57"/>
        <v>1</v>
      </c>
      <c r="BT61" s="1" t="b">
        <f t="shared" si="46"/>
        <v>1</v>
      </c>
      <c r="BU61" s="1" t="b">
        <f t="shared" si="39"/>
        <v>1</v>
      </c>
      <c r="BV61" s="1" t="b">
        <f t="shared" si="40"/>
        <v>1</v>
      </c>
      <c r="CH61" s="2"/>
    </row>
    <row r="62" spans="1:86" x14ac:dyDescent="0.2">
      <c r="A62">
        <f t="shared" si="6"/>
        <v>2008</v>
      </c>
      <c r="B62" s="2">
        <f t="shared" si="48"/>
        <v>37734.811611852383</v>
      </c>
      <c r="C62" s="2"/>
      <c r="D62" s="2">
        <f t="shared" si="51"/>
        <v>29890.720037988507</v>
      </c>
      <c r="E62" s="2">
        <f t="shared" si="52"/>
        <v>18205.818645581137</v>
      </c>
      <c r="F62" s="2"/>
      <c r="G62" s="2">
        <f t="shared" si="47"/>
        <v>35951.625446519196</v>
      </c>
      <c r="H62" s="2">
        <f t="shared" si="23"/>
        <v>111883.96258499987</v>
      </c>
      <c r="I62" s="2">
        <f t="shared" si="41"/>
        <v>233666.9383269411</v>
      </c>
      <c r="J62" s="2">
        <f t="shared" si="24"/>
        <v>-85899.188776732888</v>
      </c>
      <c r="K62" s="83">
        <f t="shared" si="25"/>
        <v>-0.26879941737024393</v>
      </c>
      <c r="L62" s="7">
        <f t="shared" si="26"/>
        <v>0.73120058262975607</v>
      </c>
      <c r="N62">
        <f t="shared" si="27"/>
        <v>2008</v>
      </c>
      <c r="O62" s="2">
        <f t="shared" si="28"/>
        <v>8972.2613085692064</v>
      </c>
      <c r="P62" s="2"/>
      <c r="Q62" s="2"/>
      <c r="R62">
        <f t="shared" si="29"/>
        <v>2008</v>
      </c>
      <c r="S62" s="2">
        <f t="shared" si="53"/>
        <v>35940.35935013854</v>
      </c>
      <c r="T62" s="2"/>
      <c r="U62" s="2">
        <f t="shared" si="54"/>
        <v>28096.267776274664</v>
      </c>
      <c r="V62" s="2">
        <f t="shared" si="54"/>
        <v>16411.366383867295</v>
      </c>
      <c r="W62" s="2"/>
      <c r="X62" s="2">
        <f t="shared" si="55"/>
        <v>34157.173184805353</v>
      </c>
      <c r="Y62" s="2">
        <f t="shared" si="55"/>
        <v>110089.51032328603</v>
      </c>
      <c r="Z62" s="2">
        <f t="shared" si="44"/>
        <v>224694.67701837188</v>
      </c>
      <c r="AA62" s="2">
        <f t="shared" si="62"/>
        <v>-85899.188776732888</v>
      </c>
      <c r="AB62" s="83">
        <f t="shared" si="63"/>
        <v>-0.27656434410523617</v>
      </c>
      <c r="AC62" s="7">
        <f t="shared" si="32"/>
        <v>0.72343565589476388</v>
      </c>
      <c r="AD62" s="2">
        <f t="shared" si="45"/>
        <v>0</v>
      </c>
      <c r="AE62" s="2"/>
      <c r="AG62">
        <f t="shared" si="11"/>
        <v>2008</v>
      </c>
      <c r="AH62" s="6">
        <f t="shared" si="58"/>
        <v>0.15995198385229181</v>
      </c>
      <c r="AI62" s="7"/>
      <c r="AJ62" s="6">
        <f t="shared" si="49"/>
        <v>0.12504198207587003</v>
      </c>
      <c r="AK62" s="6">
        <f t="shared" si="49"/>
        <v>7.303851876529073E-2</v>
      </c>
      <c r="AL62" s="7"/>
      <c r="AM62" s="6">
        <f t="shared" si="59"/>
        <v>0.15201594286994408</v>
      </c>
      <c r="AN62" s="6">
        <f t="shared" si="14"/>
        <v>0.48995157243660337</v>
      </c>
      <c r="AO62" s="6">
        <f t="shared" si="33"/>
        <v>1</v>
      </c>
      <c r="AP62" s="7">
        <f t="shared" si="34"/>
        <v>0.51004842756339663</v>
      </c>
      <c r="AQ62" s="7">
        <f t="shared" si="35"/>
        <v>0</v>
      </c>
      <c r="AR62" s="7"/>
      <c r="AS62">
        <f t="shared" si="36"/>
        <v>2008</v>
      </c>
      <c r="AT62" s="40">
        <v>0</v>
      </c>
      <c r="AU62" s="40"/>
      <c r="AV62" s="40">
        <v>0</v>
      </c>
      <c r="AW62" s="40">
        <v>0</v>
      </c>
      <c r="AX62" s="40"/>
      <c r="AY62" s="40">
        <v>0</v>
      </c>
      <c r="AZ62" s="40">
        <f>Z62</f>
        <v>224694.67701837188</v>
      </c>
      <c r="BA62" s="2">
        <f t="shared" si="61"/>
        <v>224694.67701837188</v>
      </c>
      <c r="BB62" s="2">
        <f t="shared" si="18"/>
        <v>0</v>
      </c>
      <c r="BC62" s="2"/>
      <c r="BM62" s="24"/>
      <c r="BN62">
        <f t="shared" si="5"/>
        <v>2008</v>
      </c>
      <c r="BO62" s="1" t="b">
        <f t="shared" si="37"/>
        <v>1</v>
      </c>
      <c r="BQ62" s="1" t="b">
        <f t="shared" si="56"/>
        <v>0</v>
      </c>
      <c r="BR62" s="1" t="b">
        <f t="shared" si="57"/>
        <v>1</v>
      </c>
      <c r="BT62" s="1" t="b">
        <f t="shared" si="46"/>
        <v>1</v>
      </c>
      <c r="BU62" s="28" t="b">
        <f t="shared" si="39"/>
        <v>0</v>
      </c>
      <c r="BV62" s="1" t="b">
        <f t="shared" si="40"/>
        <v>1</v>
      </c>
      <c r="CH62" s="2"/>
    </row>
    <row r="63" spans="1:86" x14ac:dyDescent="0.2">
      <c r="A63">
        <f t="shared" si="6"/>
        <v>2009</v>
      </c>
      <c r="B63" s="2">
        <f t="shared" si="48"/>
        <v>0</v>
      </c>
      <c r="C63" s="2"/>
      <c r="D63" s="2">
        <f t="shared" si="51"/>
        <v>0</v>
      </c>
      <c r="E63" s="2">
        <f t="shared" si="52"/>
        <v>0</v>
      </c>
      <c r="F63" s="2"/>
      <c r="G63" s="2">
        <f t="shared" si="47"/>
        <v>0</v>
      </c>
      <c r="H63" s="2">
        <f t="shared" si="23"/>
        <v>238019.07136556131</v>
      </c>
      <c r="I63" s="2">
        <f t="shared" si="41"/>
        <v>238019.07136556131</v>
      </c>
      <c r="J63" s="2">
        <f t="shared" si="24"/>
        <v>4352.1330386202026</v>
      </c>
      <c r="K63" s="83">
        <f t="shared" si="25"/>
        <v>1.8625369381657254E-2</v>
      </c>
      <c r="L63" s="7">
        <f t="shared" si="26"/>
        <v>1.0186253693816572</v>
      </c>
      <c r="N63">
        <f t="shared" si="27"/>
        <v>2009</v>
      </c>
      <c r="O63" s="2">
        <f t="shared" si="28"/>
        <v>9223.4846252091447</v>
      </c>
      <c r="P63" s="2"/>
      <c r="Q63" s="2"/>
      <c r="R63">
        <f t="shared" si="29"/>
        <v>2009</v>
      </c>
      <c r="S63" s="40">
        <v>0</v>
      </c>
      <c r="T63" s="40"/>
      <c r="U63" s="40">
        <v>0</v>
      </c>
      <c r="V63" s="40">
        <v>0</v>
      </c>
      <c r="W63" s="40"/>
      <c r="X63" s="40">
        <v>0</v>
      </c>
      <c r="Y63" s="40">
        <f>H63-($O63)</f>
        <v>228795.58674035216</v>
      </c>
      <c r="Z63" s="2">
        <f t="shared" si="44"/>
        <v>228795.58674035216</v>
      </c>
      <c r="AA63" s="2">
        <f t="shared" si="62"/>
        <v>4100.9097219802788</v>
      </c>
      <c r="AB63" s="83">
        <f t="shared" si="63"/>
        <v>1.825103191761402E-2</v>
      </c>
      <c r="AC63" s="7">
        <f t="shared" si="32"/>
        <v>1.0182510319176141</v>
      </c>
      <c r="AD63" s="2">
        <f t="shared" si="45"/>
        <v>0</v>
      </c>
      <c r="AE63" s="2"/>
      <c r="AG63">
        <f t="shared" si="11"/>
        <v>2009</v>
      </c>
      <c r="AH63" s="38">
        <f t="shared" si="58"/>
        <v>0</v>
      </c>
      <c r="AI63" s="61"/>
      <c r="AJ63" s="38">
        <f t="shared" si="49"/>
        <v>0</v>
      </c>
      <c r="AK63" s="38">
        <f t="shared" si="49"/>
        <v>0</v>
      </c>
      <c r="AL63" s="61"/>
      <c r="AM63" s="38">
        <f t="shared" si="59"/>
        <v>0</v>
      </c>
      <c r="AN63" s="38">
        <f t="shared" si="14"/>
        <v>1</v>
      </c>
      <c r="AO63" s="6">
        <f t="shared" si="33"/>
        <v>1</v>
      </c>
      <c r="AP63" s="7">
        <f t="shared" si="34"/>
        <v>0</v>
      </c>
      <c r="AQ63" s="7">
        <f t="shared" si="35"/>
        <v>0</v>
      </c>
      <c r="AR63" s="7"/>
      <c r="AS63">
        <f t="shared" si="36"/>
        <v>2009</v>
      </c>
      <c r="AT63" s="40">
        <f>$Z63*AT$41</f>
        <v>45759.117348070431</v>
      </c>
      <c r="AU63" s="40"/>
      <c r="AV63" s="40">
        <f>$Z63*AV$41</f>
        <v>34319.338011052823</v>
      </c>
      <c r="AW63" s="40">
        <f>$Z63*AW$41</f>
        <v>22879.558674035216</v>
      </c>
      <c r="AX63" s="40"/>
      <c r="AY63" s="40">
        <f>$Z63*AY$41</f>
        <v>34319.338011052823</v>
      </c>
      <c r="AZ63" s="40">
        <f>$Z63*AZ$41</f>
        <v>91518.234696140862</v>
      </c>
      <c r="BA63" s="2">
        <f t="shared" si="61"/>
        <v>228795.58674035216</v>
      </c>
      <c r="BB63" s="2">
        <f t="shared" si="18"/>
        <v>0</v>
      </c>
      <c r="BC63" s="2"/>
      <c r="BM63" s="24"/>
      <c r="BN63">
        <f t="shared" si="5"/>
        <v>2009</v>
      </c>
      <c r="BO63" s="1" t="b">
        <f t="shared" si="37"/>
        <v>0</v>
      </c>
      <c r="BQ63" s="1" t="b">
        <f t="shared" si="56"/>
        <v>0</v>
      </c>
      <c r="BR63" s="1" t="b">
        <f t="shared" si="57"/>
        <v>0</v>
      </c>
      <c r="BT63" s="1" t="b">
        <f t="shared" si="46"/>
        <v>0</v>
      </c>
      <c r="BU63" s="1" t="b">
        <f t="shared" si="39"/>
        <v>0</v>
      </c>
      <c r="BV63" s="1" t="b">
        <f t="shared" si="40"/>
        <v>1</v>
      </c>
      <c r="CH63" s="2"/>
    </row>
    <row r="64" spans="1:86" x14ac:dyDescent="0.2">
      <c r="A64">
        <f t="shared" si="6"/>
        <v>2010</v>
      </c>
      <c r="B64" s="2">
        <f t="shared" si="48"/>
        <v>52581.801744667733</v>
      </c>
      <c r="C64" s="2"/>
      <c r="D64" s="2">
        <f t="shared" si="51"/>
        <v>43057.041468666866</v>
      </c>
      <c r="E64" s="2">
        <f t="shared" si="52"/>
        <v>29221.772338477778</v>
      </c>
      <c r="F64" s="2"/>
      <c r="G64" s="2">
        <f t="shared" si="47"/>
        <v>38135.648397881894</v>
      </c>
      <c r="H64" s="2">
        <f t="shared" si="23"/>
        <v>97393.705363633111</v>
      </c>
      <c r="I64" s="2">
        <f t="shared" si="41"/>
        <v>260389.96931332737</v>
      </c>
      <c r="J64" s="2">
        <f t="shared" si="24"/>
        <v>22370.897947766061</v>
      </c>
      <c r="K64" s="83">
        <f t="shared" si="25"/>
        <v>9.3987838114903591E-2</v>
      </c>
      <c r="L64" s="7">
        <f t="shared" si="26"/>
        <v>1.0939878381149035</v>
      </c>
      <c r="N64">
        <f t="shared" si="27"/>
        <v>2010</v>
      </c>
      <c r="O64" s="2">
        <f t="shared" si="28"/>
        <v>9352.6134099620722</v>
      </c>
      <c r="P64" s="2"/>
      <c r="Q64" s="2"/>
      <c r="R64">
        <f t="shared" si="29"/>
        <v>2010</v>
      </c>
      <c r="S64" s="2">
        <f t="shared" si="53"/>
        <v>50711.279062675319</v>
      </c>
      <c r="T64" s="2"/>
      <c r="U64" s="2">
        <f t="shared" si="54"/>
        <v>41186.518786674453</v>
      </c>
      <c r="V64" s="2">
        <f t="shared" si="54"/>
        <v>27351.249656485365</v>
      </c>
      <c r="W64" s="2"/>
      <c r="X64" s="2">
        <f t="shared" si="55"/>
        <v>36265.12571588948</v>
      </c>
      <c r="Y64" s="2">
        <f t="shared" si="55"/>
        <v>95523.182681640697</v>
      </c>
      <c r="Z64" s="2">
        <f t="shared" si="44"/>
        <v>251037.3559033653</v>
      </c>
      <c r="AA64" s="2">
        <f t="shared" si="62"/>
        <v>22241.769163013145</v>
      </c>
      <c r="AB64" s="83">
        <f t="shared" si="63"/>
        <v>9.7212404661695409E-2</v>
      </c>
      <c r="AC64" s="7">
        <f t="shared" si="32"/>
        <v>1.0972124046616953</v>
      </c>
      <c r="AD64" s="2">
        <f t="shared" si="45"/>
        <v>0</v>
      </c>
      <c r="AE64" s="2"/>
      <c r="AG64">
        <f t="shared" si="11"/>
        <v>2010</v>
      </c>
      <c r="AH64" s="6">
        <f t="shared" si="58"/>
        <v>0.20200690403302446</v>
      </c>
      <c r="AI64" s="7"/>
      <c r="AJ64" s="6">
        <f t="shared" si="49"/>
        <v>0.16406529872203104</v>
      </c>
      <c r="AK64" s="6">
        <f t="shared" si="49"/>
        <v>0.1089529068614553</v>
      </c>
      <c r="AL64" s="7"/>
      <c r="AM64" s="6">
        <f t="shared" si="59"/>
        <v>0.14446107267736452</v>
      </c>
      <c r="AN64" s="6">
        <f t="shared" si="14"/>
        <v>0.38051381770612475</v>
      </c>
      <c r="AO64" s="6">
        <f t="shared" si="33"/>
        <v>1</v>
      </c>
      <c r="AP64" s="7">
        <f t="shared" si="34"/>
        <v>0.61948618229387531</v>
      </c>
      <c r="AQ64" s="7">
        <f t="shared" si="35"/>
        <v>0</v>
      </c>
      <c r="AR64" s="7"/>
      <c r="AS64">
        <f t="shared" si="36"/>
        <v>2010</v>
      </c>
      <c r="AT64" s="2">
        <f>S64</f>
        <v>50711.279062675319</v>
      </c>
      <c r="AU64" s="2"/>
      <c r="AV64" s="2">
        <f t="shared" ref="AV64:AW71" si="64">U64</f>
        <v>41186.518786674453</v>
      </c>
      <c r="AW64" s="2">
        <f t="shared" si="64"/>
        <v>27351.249656485365</v>
      </c>
      <c r="AX64" s="2"/>
      <c r="AY64" s="2">
        <f t="shared" ref="AY64:AZ71" si="65">X64</f>
        <v>36265.12571588948</v>
      </c>
      <c r="AZ64" s="2">
        <f t="shared" si="65"/>
        <v>95523.182681640697</v>
      </c>
      <c r="BA64" s="2">
        <f t="shared" si="61"/>
        <v>251037.3559033653</v>
      </c>
      <c r="BB64" s="2">
        <f t="shared" si="18"/>
        <v>0</v>
      </c>
      <c r="BC64" s="2"/>
      <c r="BM64" s="24"/>
      <c r="BN64">
        <f t="shared" si="5"/>
        <v>2010</v>
      </c>
      <c r="BO64" s="1" t="b">
        <f t="shared" si="37"/>
        <v>1</v>
      </c>
      <c r="BQ64" s="1" t="b">
        <f t="shared" si="56"/>
        <v>1</v>
      </c>
      <c r="BR64" s="1" t="b">
        <f t="shared" si="57"/>
        <v>1</v>
      </c>
      <c r="BT64" s="1" t="b">
        <f t="shared" si="46"/>
        <v>0</v>
      </c>
      <c r="BU64" s="28" t="b">
        <f t="shared" si="39"/>
        <v>0</v>
      </c>
      <c r="BV64" s="1" t="b">
        <f t="shared" si="40"/>
        <v>1</v>
      </c>
      <c r="CH64" s="2"/>
    </row>
    <row r="65" spans="1:86" x14ac:dyDescent="0.2">
      <c r="A65">
        <f t="shared" si="6"/>
        <v>2011</v>
      </c>
      <c r="B65" s="2">
        <f t="shared" si="48"/>
        <v>51710.291260210026</v>
      </c>
      <c r="C65" s="2"/>
      <c r="D65" s="2">
        <f t="shared" si="51"/>
        <v>40317.483240275622</v>
      </c>
      <c r="E65" s="2">
        <f t="shared" si="52"/>
        <v>26585.414666103774</v>
      </c>
      <c r="F65" s="2"/>
      <c r="G65" s="2">
        <f t="shared" si="47"/>
        <v>30984.923411655975</v>
      </c>
      <c r="H65" s="2">
        <f t="shared" si="23"/>
        <v>102744.73529237274</v>
      </c>
      <c r="I65" s="2">
        <f t="shared" si="41"/>
        <v>252342.84787061816</v>
      </c>
      <c r="J65" s="2">
        <f t="shared" si="24"/>
        <v>-8047.1214427092054</v>
      </c>
      <c r="K65" s="83">
        <f t="shared" si="25"/>
        <v>-3.0904114562977272E-2</v>
      </c>
      <c r="L65" s="7">
        <f t="shared" si="26"/>
        <v>0.96909588543702274</v>
      </c>
      <c r="N65">
        <f t="shared" si="27"/>
        <v>2011</v>
      </c>
      <c r="O65" s="2">
        <f t="shared" si="28"/>
        <v>9633.191812260935</v>
      </c>
      <c r="P65" s="2"/>
      <c r="Q65" s="2"/>
      <c r="R65">
        <f t="shared" si="29"/>
        <v>2011</v>
      </c>
      <c r="S65" s="2">
        <f t="shared" si="53"/>
        <v>49783.652897757842</v>
      </c>
      <c r="T65" s="2"/>
      <c r="U65" s="2">
        <f t="shared" si="54"/>
        <v>38390.844877823438</v>
      </c>
      <c r="V65" s="2">
        <f t="shared" si="54"/>
        <v>24658.776303651586</v>
      </c>
      <c r="W65" s="2"/>
      <c r="X65" s="2">
        <f t="shared" si="55"/>
        <v>29058.285049203787</v>
      </c>
      <c r="Y65" s="2">
        <f t="shared" si="55"/>
        <v>100818.09692992056</v>
      </c>
      <c r="Z65" s="2">
        <f t="shared" si="44"/>
        <v>242709.65605835721</v>
      </c>
      <c r="AA65" s="2">
        <f t="shared" si="62"/>
        <v>-8327.6998450080864</v>
      </c>
      <c r="AB65" s="83">
        <f t="shared" si="63"/>
        <v>-3.317314992838661E-2</v>
      </c>
      <c r="AC65" s="7">
        <f t="shared" si="32"/>
        <v>0.9668268500716134</v>
      </c>
      <c r="AD65" s="2">
        <f t="shared" si="45"/>
        <v>0</v>
      </c>
      <c r="AE65" s="2"/>
      <c r="AG65">
        <f t="shared" si="11"/>
        <v>2011</v>
      </c>
      <c r="AH65" s="6">
        <f t="shared" si="58"/>
        <v>0.20511607863589837</v>
      </c>
      <c r="AI65" s="7"/>
      <c r="AJ65" s="6">
        <f t="shared" si="49"/>
        <v>0.15817600956342967</v>
      </c>
      <c r="AK65" s="6">
        <f t="shared" si="49"/>
        <v>0.10159783794396141</v>
      </c>
      <c r="AL65" s="7"/>
      <c r="AM65" s="6">
        <f t="shared" si="59"/>
        <v>0.11972447046860385</v>
      </c>
      <c r="AN65" s="6">
        <f t="shared" si="14"/>
        <v>0.41538560338810671</v>
      </c>
      <c r="AO65" s="6">
        <f t="shared" si="33"/>
        <v>1</v>
      </c>
      <c r="AP65" s="7">
        <f t="shared" si="34"/>
        <v>0.58461439661189329</v>
      </c>
      <c r="AQ65" s="7">
        <f t="shared" si="35"/>
        <v>0</v>
      </c>
      <c r="AR65" s="7"/>
      <c r="AS65">
        <f t="shared" si="36"/>
        <v>2011</v>
      </c>
      <c r="AT65" s="2">
        <f t="shared" ref="AT65:AT71" si="66">S65</f>
        <v>49783.652897757842</v>
      </c>
      <c r="AU65" s="2"/>
      <c r="AV65" s="2">
        <f t="shared" si="64"/>
        <v>38390.844877823438</v>
      </c>
      <c r="AW65" s="2">
        <f t="shared" si="64"/>
        <v>24658.776303651586</v>
      </c>
      <c r="AX65" s="2"/>
      <c r="AY65" s="2">
        <f t="shared" si="65"/>
        <v>29058.285049203787</v>
      </c>
      <c r="AZ65" s="2">
        <f t="shared" si="65"/>
        <v>100818.09692992056</v>
      </c>
      <c r="BA65" s="2">
        <f t="shared" si="61"/>
        <v>242709.65605835721</v>
      </c>
      <c r="BB65" s="2">
        <f t="shared" ref="BB65:BB68" si="67">SUM(AT65:AZ65)-Z65</f>
        <v>0</v>
      </c>
      <c r="BC65" s="2"/>
      <c r="BM65" s="24"/>
      <c r="BN65">
        <f t="shared" si="5"/>
        <v>2011</v>
      </c>
      <c r="BO65" s="1" t="b">
        <f t="shared" si="37"/>
        <v>1</v>
      </c>
      <c r="BQ65" s="1" t="b">
        <f t="shared" si="56"/>
        <v>1</v>
      </c>
      <c r="BR65" s="1" t="b">
        <f t="shared" si="57"/>
        <v>1</v>
      </c>
      <c r="BT65" s="1" t="b">
        <f t="shared" si="46"/>
        <v>0</v>
      </c>
      <c r="BU65" s="1" t="b">
        <f t="shared" si="39"/>
        <v>0</v>
      </c>
      <c r="BV65" s="1" t="b">
        <f t="shared" si="40"/>
        <v>1</v>
      </c>
      <c r="CH65" s="2"/>
    </row>
    <row r="66" spans="1:86" x14ac:dyDescent="0.2">
      <c r="A66">
        <f t="shared" si="6"/>
        <v>2012</v>
      </c>
      <c r="B66" s="2">
        <f t="shared" si="48"/>
        <v>57659.426786183125</v>
      </c>
      <c r="C66" s="2"/>
      <c r="D66" s="2">
        <f t="shared" si="51"/>
        <v>44456.598368519539</v>
      </c>
      <c r="E66" s="2">
        <f t="shared" si="52"/>
        <v>29107.219548830337</v>
      </c>
      <c r="F66" s="2"/>
      <c r="G66" s="2">
        <f t="shared" si="47"/>
        <v>34329.457957129351</v>
      </c>
      <c r="H66" s="2">
        <f t="shared" si="23"/>
        <v>104901.22985558234</v>
      </c>
      <c r="I66" s="2">
        <f t="shared" si="41"/>
        <v>270453.93251624465</v>
      </c>
      <c r="J66" s="2">
        <f t="shared" si="24"/>
        <v>18111.084645626484</v>
      </c>
      <c r="K66" s="83">
        <f t="shared" si="25"/>
        <v>7.1771737532709642E-2</v>
      </c>
      <c r="L66" s="7">
        <f t="shared" si="26"/>
        <v>1.0717717375327096</v>
      </c>
      <c r="N66">
        <f t="shared" si="27"/>
        <v>2012</v>
      </c>
      <c r="O66" s="2">
        <f t="shared" si="28"/>
        <v>9806.5892648816316</v>
      </c>
      <c r="P66" s="2"/>
      <c r="Q66" s="2"/>
      <c r="R66">
        <f t="shared" si="29"/>
        <v>2012</v>
      </c>
      <c r="S66" s="2">
        <f t="shared" si="53"/>
        <v>55698.1089332068</v>
      </c>
      <c r="T66" s="2"/>
      <c r="U66" s="2">
        <f t="shared" si="54"/>
        <v>42495.280515543214</v>
      </c>
      <c r="V66" s="2">
        <f t="shared" si="54"/>
        <v>27145.901695854009</v>
      </c>
      <c r="W66" s="2"/>
      <c r="X66" s="2">
        <f t="shared" si="55"/>
        <v>32368.140104153026</v>
      </c>
      <c r="Y66" s="2">
        <f t="shared" si="55"/>
        <v>102939.91200260601</v>
      </c>
      <c r="Z66" s="2">
        <f t="shared" si="44"/>
        <v>260647.34325136303</v>
      </c>
      <c r="AA66" s="2">
        <f t="shared" si="62"/>
        <v>17937.687193005811</v>
      </c>
      <c r="AB66" s="83">
        <f t="shared" si="63"/>
        <v>7.3905947889823007E-2</v>
      </c>
      <c r="AC66" s="7">
        <f t="shared" si="32"/>
        <v>1.073905947889823</v>
      </c>
      <c r="AD66" s="2">
        <f t="shared" si="45"/>
        <v>0</v>
      </c>
      <c r="AE66" s="2"/>
      <c r="AG66">
        <f t="shared" si="11"/>
        <v>2012</v>
      </c>
      <c r="AH66" s="6">
        <f t="shared" si="58"/>
        <v>0.21369145082554197</v>
      </c>
      <c r="AI66" s="7"/>
      <c r="AJ66" s="6">
        <f t="shared" si="49"/>
        <v>0.16303745891076138</v>
      </c>
      <c r="AK66" s="6">
        <f t="shared" si="49"/>
        <v>0.10414800840565273</v>
      </c>
      <c r="AL66" s="7"/>
      <c r="AM66" s="6">
        <f t="shared" si="59"/>
        <v>0.12418365635493106</v>
      </c>
      <c r="AN66" s="6">
        <f t="shared" si="14"/>
        <v>0.39493942550311301</v>
      </c>
      <c r="AO66" s="6">
        <f t="shared" si="33"/>
        <v>1</v>
      </c>
      <c r="AP66" s="7">
        <f t="shared" si="34"/>
        <v>0.6050605744968871</v>
      </c>
      <c r="AQ66" s="7">
        <f t="shared" si="35"/>
        <v>0</v>
      </c>
      <c r="AR66" s="7"/>
      <c r="AS66">
        <f t="shared" si="36"/>
        <v>2012</v>
      </c>
      <c r="AT66" s="2">
        <f t="shared" si="66"/>
        <v>55698.1089332068</v>
      </c>
      <c r="AU66" s="2"/>
      <c r="AV66" s="2">
        <f t="shared" si="64"/>
        <v>42495.280515543214</v>
      </c>
      <c r="AW66" s="2">
        <f t="shared" si="64"/>
        <v>27145.901695854009</v>
      </c>
      <c r="AX66" s="2"/>
      <c r="AY66" s="2">
        <f t="shared" si="65"/>
        <v>32368.140104153026</v>
      </c>
      <c r="AZ66" s="2">
        <f t="shared" si="65"/>
        <v>102939.91200260601</v>
      </c>
      <c r="BA66" s="2">
        <f t="shared" si="61"/>
        <v>260647.34325136303</v>
      </c>
      <c r="BB66" s="2">
        <f t="shared" si="67"/>
        <v>0</v>
      </c>
      <c r="BC66" s="2"/>
      <c r="BM66" s="24"/>
      <c r="BN66">
        <f t="shared" si="5"/>
        <v>2012</v>
      </c>
      <c r="BO66" s="1" t="b">
        <f t="shared" si="37"/>
        <v>1</v>
      </c>
      <c r="BQ66" s="1" t="b">
        <f t="shared" si="56"/>
        <v>1</v>
      </c>
      <c r="BR66" s="1" t="b">
        <f t="shared" si="57"/>
        <v>1</v>
      </c>
      <c r="BT66" s="1" t="b">
        <f t="shared" si="46"/>
        <v>0</v>
      </c>
      <c r="BU66" s="1" t="b">
        <f t="shared" si="39"/>
        <v>0</v>
      </c>
      <c r="BV66" s="1" t="b">
        <f t="shared" si="40"/>
        <v>1</v>
      </c>
      <c r="CH66" s="2"/>
    </row>
    <row r="67" spans="1:86" x14ac:dyDescent="0.2">
      <c r="A67">
        <f t="shared" si="6"/>
        <v>2013</v>
      </c>
      <c r="B67" s="2">
        <f t="shared" si="48"/>
        <v>73621.760387912756</v>
      </c>
      <c r="C67" s="2"/>
      <c r="D67" s="2">
        <f t="shared" si="51"/>
        <v>57368.628695983345</v>
      </c>
      <c r="E67" s="2">
        <f t="shared" si="52"/>
        <v>37358.189913834285</v>
      </c>
      <c r="F67" s="2"/>
      <c r="G67" s="2">
        <f t="shared" si="47"/>
        <v>37236.308375817636</v>
      </c>
      <c r="H67" s="2">
        <f t="shared" si="23"/>
        <v>100613.46999134713</v>
      </c>
      <c r="I67" s="2">
        <f t="shared" ref="I67:I71" si="68">SUM(B67:H67)</f>
        <v>306198.35736489517</v>
      </c>
      <c r="J67" s="2">
        <f t="shared" si="24"/>
        <v>35744.424848650524</v>
      </c>
      <c r="K67" s="83">
        <f t="shared" si="25"/>
        <v>0.13216455947263239</v>
      </c>
      <c r="L67" s="7">
        <f t="shared" si="26"/>
        <v>1.1321645594726324</v>
      </c>
      <c r="N67">
        <f t="shared" si="27"/>
        <v>2013</v>
      </c>
      <c r="O67" s="2">
        <f t="shared" si="28"/>
        <v>9919.9133970045659</v>
      </c>
      <c r="P67" s="2"/>
      <c r="Q67" s="2"/>
      <c r="R67">
        <f t="shared" si="29"/>
        <v>2013</v>
      </c>
      <c r="S67" s="2">
        <f t="shared" si="53"/>
        <v>71637.777708511843</v>
      </c>
      <c r="T67" s="2"/>
      <c r="U67" s="2">
        <f t="shared" si="54"/>
        <v>55384.646016582432</v>
      </c>
      <c r="V67" s="2">
        <f t="shared" si="54"/>
        <v>35374.207234433372</v>
      </c>
      <c r="W67" s="2"/>
      <c r="X67" s="2">
        <f t="shared" si="55"/>
        <v>35252.325696416723</v>
      </c>
      <c r="Y67" s="2">
        <f t="shared" si="55"/>
        <v>98629.487311946214</v>
      </c>
      <c r="Z67" s="2">
        <f t="shared" si="44"/>
        <v>296278.44396789058</v>
      </c>
      <c r="AA67" s="2">
        <f t="shared" si="62"/>
        <v>35631.100716527551</v>
      </c>
      <c r="AB67" s="83">
        <f t="shared" si="63"/>
        <v>0.13670233608391566</v>
      </c>
      <c r="AC67" s="7">
        <f t="shared" si="32"/>
        <v>1.1367023360839157</v>
      </c>
      <c r="AD67" s="2">
        <f t="shared" si="45"/>
        <v>0</v>
      </c>
      <c r="AE67" s="2"/>
      <c r="AG67">
        <f t="shared" si="11"/>
        <v>2013</v>
      </c>
      <c r="AH67" s="6">
        <f t="shared" si="58"/>
        <v>0.24179206812722306</v>
      </c>
      <c r="AI67" s="7"/>
      <c r="AJ67" s="6">
        <f t="shared" si="49"/>
        <v>0.18693444340684059</v>
      </c>
      <c r="AK67" s="6">
        <f t="shared" si="49"/>
        <v>0.11939514316561985</v>
      </c>
      <c r="AL67" s="7"/>
      <c r="AM67" s="6">
        <f t="shared" si="59"/>
        <v>0.11898376818880965</v>
      </c>
      <c r="AN67" s="6">
        <f t="shared" si="14"/>
        <v>0.33289457711150688</v>
      </c>
      <c r="AO67" s="6">
        <f t="shared" si="33"/>
        <v>1</v>
      </c>
      <c r="AP67" s="7">
        <f t="shared" si="34"/>
        <v>0.66710542288849317</v>
      </c>
      <c r="AQ67" s="7">
        <f t="shared" si="35"/>
        <v>0</v>
      </c>
      <c r="AR67" s="7"/>
      <c r="AS67">
        <f t="shared" si="36"/>
        <v>2013</v>
      </c>
      <c r="AT67" s="2">
        <f t="shared" si="66"/>
        <v>71637.777708511843</v>
      </c>
      <c r="AU67" s="2"/>
      <c r="AV67" s="2">
        <f t="shared" si="64"/>
        <v>55384.646016582432</v>
      </c>
      <c r="AW67" s="2">
        <f t="shared" si="64"/>
        <v>35374.207234433372</v>
      </c>
      <c r="AX67" s="2"/>
      <c r="AY67" s="2">
        <f t="shared" si="65"/>
        <v>35252.325696416723</v>
      </c>
      <c r="AZ67" s="2">
        <f t="shared" si="65"/>
        <v>98629.487311946214</v>
      </c>
      <c r="BA67" s="2">
        <f t="shared" si="61"/>
        <v>296278.44396789058</v>
      </c>
      <c r="BB67" s="2">
        <f t="shared" si="67"/>
        <v>0</v>
      </c>
      <c r="BC67" s="2"/>
      <c r="BM67" s="24"/>
      <c r="BO67" s="1"/>
      <c r="BQ67" s="1"/>
      <c r="BR67" s="1"/>
      <c r="BT67" s="1"/>
      <c r="BU67" s="1"/>
      <c r="BV67" s="1"/>
      <c r="CH67" s="2"/>
    </row>
    <row r="68" spans="1:86" x14ac:dyDescent="0.2">
      <c r="A68">
        <f t="shared" si="6"/>
        <v>2014</v>
      </c>
      <c r="B68" s="2">
        <f t="shared" si="48"/>
        <v>81316.041476931787</v>
      </c>
      <c r="C68" s="2"/>
      <c r="D68" s="2">
        <f t="shared" si="51"/>
        <v>62916.957874837652</v>
      </c>
      <c r="E68" s="2">
        <f t="shared" si="52"/>
        <v>37981.286307611117</v>
      </c>
      <c r="F68" s="2"/>
      <c r="G68" s="2">
        <f t="shared" si="47"/>
        <v>33757.627086888657</v>
      </c>
      <c r="H68" s="2">
        <f t="shared" si="23"/>
        <v>104310.54578111433</v>
      </c>
      <c r="I68" s="2">
        <f t="shared" si="68"/>
        <v>320282.45852738357</v>
      </c>
      <c r="J68" s="2">
        <f t="shared" si="24"/>
        <v>14084.101162488398</v>
      </c>
      <c r="K68" s="83">
        <f t="shared" si="25"/>
        <v>4.5996658126106274E-2</v>
      </c>
      <c r="L68" s="7">
        <f t="shared" si="26"/>
        <v>1.0459966581261062</v>
      </c>
      <c r="N68">
        <f t="shared" si="27"/>
        <v>2014</v>
      </c>
      <c r="O68" s="2">
        <f t="shared" si="28"/>
        <v>10047.880279825924</v>
      </c>
      <c r="P68" s="2"/>
      <c r="R68">
        <f t="shared" si="29"/>
        <v>2014</v>
      </c>
      <c r="S68" s="2">
        <f t="shared" si="53"/>
        <v>79306.465420966604</v>
      </c>
      <c r="T68" s="2"/>
      <c r="U68" s="2">
        <f t="shared" si="54"/>
        <v>60907.381818872469</v>
      </c>
      <c r="V68" s="2">
        <f t="shared" si="54"/>
        <v>35971.710251645934</v>
      </c>
      <c r="W68" s="2"/>
      <c r="X68" s="2">
        <f t="shared" si="55"/>
        <v>31748.051030923471</v>
      </c>
      <c r="Y68" s="2">
        <f t="shared" si="55"/>
        <v>102300.96972514915</v>
      </c>
      <c r="Z68" s="2">
        <f t="shared" si="44"/>
        <v>310234.57824755763</v>
      </c>
      <c r="AA68" s="2">
        <f t="shared" si="62"/>
        <v>13956.134279667051</v>
      </c>
      <c r="AB68" s="83">
        <f t="shared" si="63"/>
        <v>4.7104791333316028E-2</v>
      </c>
      <c r="AC68" s="7">
        <f t="shared" si="32"/>
        <v>1.047104791333316</v>
      </c>
      <c r="AD68" s="2">
        <f t="shared" si="45"/>
        <v>0</v>
      </c>
      <c r="AE68" s="2"/>
      <c r="AG68">
        <f t="shared" si="11"/>
        <v>2014</v>
      </c>
      <c r="AH68" s="6">
        <f t="shared" si="58"/>
        <v>0.25563386863240783</v>
      </c>
      <c r="AI68" s="7"/>
      <c r="AJ68" s="6">
        <f t="shared" si="49"/>
        <v>0.19632686389416673</v>
      </c>
      <c r="AK68" s="6">
        <f t="shared" si="49"/>
        <v>0.11595003514708672</v>
      </c>
      <c r="AL68" s="7"/>
      <c r="AM68" s="6">
        <f t="shared" si="59"/>
        <v>0.10233563005858588</v>
      </c>
      <c r="AN68" s="6">
        <f t="shared" si="14"/>
        <v>0.3297536022677528</v>
      </c>
      <c r="AO68" s="6">
        <f t="shared" si="33"/>
        <v>1</v>
      </c>
      <c r="AP68" s="7">
        <f t="shared" si="34"/>
        <v>0.67024639773224715</v>
      </c>
      <c r="AQ68" s="7">
        <f t="shared" si="35"/>
        <v>0</v>
      </c>
      <c r="AR68" s="7"/>
      <c r="AS68">
        <f t="shared" si="36"/>
        <v>2014</v>
      </c>
      <c r="AT68" s="2">
        <f t="shared" si="66"/>
        <v>79306.465420966604</v>
      </c>
      <c r="AU68" s="2"/>
      <c r="AV68" s="2">
        <f t="shared" si="64"/>
        <v>60907.381818872469</v>
      </c>
      <c r="AW68" s="2">
        <f t="shared" si="64"/>
        <v>35971.710251645934</v>
      </c>
      <c r="AX68" s="2"/>
      <c r="AY68" s="2">
        <f t="shared" si="65"/>
        <v>31748.051030923471</v>
      </c>
      <c r="AZ68" s="2">
        <f t="shared" si="65"/>
        <v>102300.96972514915</v>
      </c>
      <c r="BA68" s="2">
        <f t="shared" si="61"/>
        <v>310234.57824755763</v>
      </c>
      <c r="BB68" s="2">
        <f t="shared" si="67"/>
        <v>0</v>
      </c>
      <c r="BC68" s="2"/>
      <c r="BM68" s="24"/>
      <c r="BN68">
        <f t="shared" si="5"/>
        <v>2014</v>
      </c>
      <c r="BO68" s="1" t="b">
        <f t="shared" si="37"/>
        <v>0</v>
      </c>
      <c r="BQ68" s="1" t="b">
        <f t="shared" si="56"/>
        <v>1</v>
      </c>
      <c r="BR68" s="1" t="b">
        <f t="shared" si="57"/>
        <v>1</v>
      </c>
      <c r="BT68" s="1" t="b">
        <f t="shared" si="46"/>
        <v>0</v>
      </c>
      <c r="BU68" s="28" t="b">
        <f t="shared" si="39"/>
        <v>1</v>
      </c>
      <c r="BV68" s="1" t="b">
        <f t="shared" si="40"/>
        <v>1</v>
      </c>
      <c r="CH68" t="s">
        <v>173</v>
      </c>
    </row>
    <row r="69" spans="1:86" x14ac:dyDescent="0.2">
      <c r="A69">
        <f t="shared" si="6"/>
        <v>2015</v>
      </c>
      <c r="B69" s="2">
        <f t="shared" si="48"/>
        <v>80297.796238728683</v>
      </c>
      <c r="C69" s="2"/>
      <c r="D69" s="2">
        <f t="shared" si="51"/>
        <v>60018.134044316932</v>
      </c>
      <c r="E69" s="2">
        <f t="shared" si="52"/>
        <v>34611.979604133718</v>
      </c>
      <c r="F69" s="2"/>
      <c r="G69" s="2">
        <f t="shared" si="47"/>
        <v>30360.661200872117</v>
      </c>
      <c r="H69" s="2">
        <f t="shared" si="23"/>
        <v>102607.87263432458</v>
      </c>
      <c r="I69" s="2">
        <f t="shared" si="68"/>
        <v>307896.44372237608</v>
      </c>
      <c r="J69" s="2">
        <f t="shared" si="24"/>
        <v>-12386.014805007493</v>
      </c>
      <c r="K69" s="83">
        <f t="shared" si="25"/>
        <v>-3.8672161010492902E-2</v>
      </c>
      <c r="L69" s="7">
        <f t="shared" si="26"/>
        <v>0.96132783898950713</v>
      </c>
      <c r="N69">
        <f t="shared" si="27"/>
        <v>2015</v>
      </c>
      <c r="O69" s="2">
        <f t="shared" si="28"/>
        <v>10092.090953057157</v>
      </c>
      <c r="P69" s="2"/>
      <c r="R69">
        <f t="shared" si="29"/>
        <v>2015</v>
      </c>
      <c r="S69" s="2">
        <f t="shared" si="53"/>
        <v>78279.378048117258</v>
      </c>
      <c r="T69" s="2"/>
      <c r="U69" s="2">
        <f t="shared" si="54"/>
        <v>57999.7158537055</v>
      </c>
      <c r="V69" s="2">
        <f t="shared" si="54"/>
        <v>32593.561413522286</v>
      </c>
      <c r="W69" s="2"/>
      <c r="X69" s="2">
        <f t="shared" si="55"/>
        <v>28342.243010260685</v>
      </c>
      <c r="Y69" s="2">
        <f t="shared" si="55"/>
        <v>100589.45444371316</v>
      </c>
      <c r="Z69" s="2">
        <f t="shared" si="44"/>
        <v>297804.35276931885</v>
      </c>
      <c r="AA69" s="2">
        <f t="shared" si="62"/>
        <v>-12430.225478238775</v>
      </c>
      <c r="AB69" s="83">
        <f t="shared" si="63"/>
        <v>-4.0067182544428814E-2</v>
      </c>
      <c r="AC69" s="7">
        <f t="shared" si="32"/>
        <v>0.95993281745557124</v>
      </c>
      <c r="AD69" s="2">
        <f t="shared" si="45"/>
        <v>0</v>
      </c>
      <c r="AE69" s="2"/>
      <c r="AG69">
        <f t="shared" si="11"/>
        <v>2015</v>
      </c>
      <c r="AH69" s="6">
        <f t="shared" si="58"/>
        <v>0.26285505003599785</v>
      </c>
      <c r="AI69" s="7"/>
      <c r="AJ69" s="6">
        <f t="shared" ref="AJ69:AK71" si="69">U69/$Z69</f>
        <v>0.19475778414371414</v>
      </c>
      <c r="AK69" s="6">
        <f t="shared" si="69"/>
        <v>0.10944622236186544</v>
      </c>
      <c r="AL69" s="7"/>
      <c r="AM69" s="6">
        <f t="shared" si="59"/>
        <v>9.5170680840299088E-2</v>
      </c>
      <c r="AN69" s="6">
        <f t="shared" si="14"/>
        <v>0.3377702626181236</v>
      </c>
      <c r="AO69" s="6">
        <f t="shared" si="33"/>
        <v>1</v>
      </c>
      <c r="AP69" s="7">
        <f t="shared" si="34"/>
        <v>0.66222973738187652</v>
      </c>
      <c r="AQ69" s="7">
        <f t="shared" si="35"/>
        <v>0</v>
      </c>
      <c r="AR69" s="7"/>
      <c r="AS69">
        <f t="shared" si="36"/>
        <v>2015</v>
      </c>
      <c r="AT69" s="2">
        <f t="shared" si="66"/>
        <v>78279.378048117258</v>
      </c>
      <c r="AU69" s="2"/>
      <c r="AV69" s="2">
        <f t="shared" si="64"/>
        <v>57999.7158537055</v>
      </c>
      <c r="AW69" s="2">
        <f t="shared" si="64"/>
        <v>32593.561413522286</v>
      </c>
      <c r="AX69" s="2"/>
      <c r="AY69" s="2">
        <f t="shared" si="65"/>
        <v>28342.243010260685</v>
      </c>
      <c r="AZ69" s="2">
        <f t="shared" si="65"/>
        <v>100589.45444371316</v>
      </c>
      <c r="BA69" s="2">
        <f t="shared" si="61"/>
        <v>297804.35276931885</v>
      </c>
      <c r="BB69" s="2">
        <f t="shared" ref="BB69:BB71" si="70">SUM(AT69:AZ69)-Z69</f>
        <v>0</v>
      </c>
      <c r="BC69" s="2"/>
      <c r="BM69" s="24"/>
      <c r="BO69" s="1"/>
      <c r="BQ69" s="1"/>
      <c r="BR69" s="1"/>
      <c r="BT69" s="1"/>
      <c r="BU69" s="28"/>
      <c r="BV69" s="1"/>
    </row>
    <row r="70" spans="1:86" x14ac:dyDescent="0.2">
      <c r="A70">
        <f t="shared" si="6"/>
        <v>2016</v>
      </c>
      <c r="B70" s="2">
        <f t="shared" si="48"/>
        <v>87532.000533404731</v>
      </c>
      <c r="C70" s="2"/>
      <c r="D70" s="2">
        <f t="shared" si="51"/>
        <v>64420.284398710697</v>
      </c>
      <c r="E70" s="2">
        <f t="shared" si="52"/>
        <v>38515.811522359283</v>
      </c>
      <c r="F70" s="2"/>
      <c r="G70" s="2">
        <f t="shared" si="47"/>
        <v>29660.157310237806</v>
      </c>
      <c r="H70" s="2">
        <f t="shared" si="23"/>
        <v>103104.19080480597</v>
      </c>
      <c r="I70" s="2">
        <f t="shared" si="68"/>
        <v>323232.4445695185</v>
      </c>
      <c r="J70" s="2">
        <f t="shared" si="24"/>
        <v>15336.000847142423</v>
      </c>
      <c r="K70" s="83">
        <f t="shared" si="25"/>
        <v>4.9808957394034015E-2</v>
      </c>
      <c r="L70" s="7">
        <f t="shared" si="26"/>
        <v>1.0498089573940339</v>
      </c>
      <c r="N70">
        <f t="shared" si="27"/>
        <v>2016</v>
      </c>
      <c r="O70" s="2">
        <f t="shared" si="28"/>
        <v>10263.656499259128</v>
      </c>
      <c r="P70" s="2"/>
      <c r="R70">
        <f t="shared" si="29"/>
        <v>2016</v>
      </c>
      <c r="S70" s="2">
        <f t="shared" si="53"/>
        <v>85479.269233552899</v>
      </c>
      <c r="T70" s="2"/>
      <c r="U70" s="2">
        <f t="shared" ref="U70:V71" si="71">D70-($O70/5)</f>
        <v>62367.553098858873</v>
      </c>
      <c r="V70" s="2">
        <f t="shared" si="71"/>
        <v>36463.080222507459</v>
      </c>
      <c r="W70" s="2"/>
      <c r="X70" s="2">
        <f t="shared" ref="X70:Y71" si="72">G70-($O70/5)</f>
        <v>27607.426010385981</v>
      </c>
      <c r="Y70" s="2">
        <f t="shared" si="72"/>
        <v>101051.45950495414</v>
      </c>
      <c r="Z70" s="2">
        <f t="shared" si="44"/>
        <v>312968.78807025938</v>
      </c>
      <c r="AA70" s="2">
        <f t="shared" si="62"/>
        <v>15164.435300940531</v>
      </c>
      <c r="AB70" s="83">
        <f t="shared" si="63"/>
        <v>5.092079803375809E-2</v>
      </c>
      <c r="AC70" s="7">
        <f t="shared" si="32"/>
        <v>1.050920798033758</v>
      </c>
      <c r="AD70" s="2">
        <f t="shared" si="45"/>
        <v>0</v>
      </c>
      <c r="AE70" s="2"/>
      <c r="AG70">
        <f t="shared" si="11"/>
        <v>2016</v>
      </c>
      <c r="AH70" s="6">
        <f t="shared" si="58"/>
        <v>0.2731239423605506</v>
      </c>
      <c r="AI70" s="7"/>
      <c r="AJ70" s="6">
        <f t="shared" si="69"/>
        <v>0.19927722979474163</v>
      </c>
      <c r="AK70" s="6">
        <f t="shared" si="69"/>
        <v>0.11650708189572483</v>
      </c>
      <c r="AL70" s="7"/>
      <c r="AM70" s="6">
        <f t="shared" si="59"/>
        <v>8.8211435333891183E-2</v>
      </c>
      <c r="AN70" s="6">
        <f t="shared" si="14"/>
        <v>0.32288031061509165</v>
      </c>
      <c r="AO70" s="6">
        <f t="shared" si="33"/>
        <v>0.99999999999999978</v>
      </c>
      <c r="AP70" s="7">
        <f t="shared" si="34"/>
        <v>0.67711968938490819</v>
      </c>
      <c r="AQ70" s="7">
        <f t="shared" si="35"/>
        <v>0</v>
      </c>
      <c r="AR70" s="7"/>
      <c r="AS70">
        <f t="shared" si="36"/>
        <v>2016</v>
      </c>
      <c r="AT70" s="2">
        <f t="shared" si="66"/>
        <v>85479.269233552899</v>
      </c>
      <c r="AU70" s="2"/>
      <c r="AV70" s="2">
        <f t="shared" si="64"/>
        <v>62367.553098858873</v>
      </c>
      <c r="AW70" s="2">
        <f t="shared" si="64"/>
        <v>36463.080222507459</v>
      </c>
      <c r="AX70" s="2"/>
      <c r="AY70" s="2">
        <f t="shared" si="65"/>
        <v>27607.426010385981</v>
      </c>
      <c r="AZ70" s="2">
        <f t="shared" si="65"/>
        <v>101051.45950495414</v>
      </c>
      <c r="BA70" s="2">
        <f t="shared" si="61"/>
        <v>312968.78807025938</v>
      </c>
      <c r="BB70" s="2">
        <f t="shared" si="70"/>
        <v>0</v>
      </c>
      <c r="BC70" s="2"/>
      <c r="BM70" s="24"/>
      <c r="BO70" s="1"/>
      <c r="BQ70" s="1"/>
      <c r="BR70" s="1"/>
      <c r="BT70" s="1"/>
      <c r="BU70" s="28"/>
      <c r="BV70" s="1"/>
    </row>
    <row r="71" spans="1:86" x14ac:dyDescent="0.2">
      <c r="A71">
        <f t="shared" si="6"/>
        <v>2017</v>
      </c>
      <c r="B71" s="2">
        <f t="shared" si="48"/>
        <v>104002.62687646381</v>
      </c>
      <c r="C71" s="2"/>
      <c r="D71" s="2">
        <f t="shared" si="51"/>
        <v>74591.593506235207</v>
      </c>
      <c r="E71" s="2">
        <f t="shared" si="52"/>
        <v>42333.63613833116</v>
      </c>
      <c r="F71" s="2"/>
      <c r="G71" s="2">
        <f t="shared" si="47"/>
        <v>35171.860737231742</v>
      </c>
      <c r="H71" s="2">
        <f t="shared" si="23"/>
        <v>104547.84000382555</v>
      </c>
      <c r="I71" s="2">
        <f t="shared" si="68"/>
        <v>360647.55726208747</v>
      </c>
      <c r="J71" s="2">
        <f t="shared" si="24"/>
        <v>37415.112692568975</v>
      </c>
      <c r="K71" s="83">
        <f t="shared" si="25"/>
        <v>0.11575296144048437</v>
      </c>
      <c r="L71" s="7">
        <f t="shared" si="26"/>
        <v>1.1157529614404844</v>
      </c>
      <c r="N71">
        <f t="shared" si="27"/>
        <v>2017</v>
      </c>
      <c r="O71" s="2">
        <f t="shared" si="28"/>
        <v>10492.536039192606</v>
      </c>
      <c r="P71" s="2"/>
      <c r="R71">
        <f t="shared" si="29"/>
        <v>2017</v>
      </c>
      <c r="S71" s="2">
        <f t="shared" si="53"/>
        <v>101904.11966862528</v>
      </c>
      <c r="T71" s="2"/>
      <c r="U71" s="2">
        <f t="shared" si="71"/>
        <v>72493.08629839668</v>
      </c>
      <c r="V71" s="2">
        <f t="shared" si="71"/>
        <v>40235.128930492639</v>
      </c>
      <c r="W71" s="2"/>
      <c r="X71" s="2">
        <f t="shared" si="72"/>
        <v>33073.353529393222</v>
      </c>
      <c r="Y71" s="2">
        <f t="shared" si="72"/>
        <v>102449.33279598702</v>
      </c>
      <c r="Z71" s="2">
        <f t="shared" si="44"/>
        <v>350155.02122289484</v>
      </c>
      <c r="AA71" s="2">
        <f t="shared" si="62"/>
        <v>37186.233152635454</v>
      </c>
      <c r="AB71" s="83">
        <f t="shared" si="63"/>
        <v>0.11881770505590288</v>
      </c>
      <c r="AC71" s="7">
        <f t="shared" si="32"/>
        <v>1.1188177050559029</v>
      </c>
      <c r="AD71" s="2">
        <f t="shared" si="45"/>
        <v>0</v>
      </c>
      <c r="AE71" s="2"/>
      <c r="AG71">
        <f t="shared" si="11"/>
        <v>2017</v>
      </c>
      <c r="AH71" s="6">
        <f t="shared" si="58"/>
        <v>0.29102572715573638</v>
      </c>
      <c r="AI71" s="7"/>
      <c r="AJ71" s="6">
        <f t="shared" si="69"/>
        <v>0.20703140581911134</v>
      </c>
      <c r="AK71" s="6">
        <f t="shared" si="69"/>
        <v>0.11490661704628405</v>
      </c>
      <c r="AL71" s="7"/>
      <c r="AM71" s="6">
        <f t="shared" si="59"/>
        <v>9.4453460681176507E-2</v>
      </c>
      <c r="AN71" s="6">
        <f t="shared" si="14"/>
        <v>0.29258278929769177</v>
      </c>
      <c r="AO71" s="6">
        <f t="shared" si="33"/>
        <v>1</v>
      </c>
      <c r="AP71" s="7">
        <f t="shared" si="34"/>
        <v>0.70741721070230834</v>
      </c>
      <c r="AQ71" s="7">
        <f t="shared" si="35"/>
        <v>0</v>
      </c>
      <c r="AR71" s="7"/>
      <c r="AS71">
        <f t="shared" si="36"/>
        <v>2017</v>
      </c>
      <c r="AT71" s="2">
        <f t="shared" si="66"/>
        <v>101904.11966862528</v>
      </c>
      <c r="AU71" s="2"/>
      <c r="AV71" s="2">
        <f t="shared" si="64"/>
        <v>72493.08629839668</v>
      </c>
      <c r="AW71" s="2">
        <f t="shared" si="64"/>
        <v>40235.128930492639</v>
      </c>
      <c r="AX71" s="2"/>
      <c r="AY71" s="2">
        <f t="shared" si="65"/>
        <v>33073.353529393222</v>
      </c>
      <c r="AZ71" s="2">
        <f t="shared" si="65"/>
        <v>102449.33279598702</v>
      </c>
      <c r="BA71" s="2">
        <f t="shared" si="61"/>
        <v>350155.02122289484</v>
      </c>
      <c r="BB71" s="2">
        <f t="shared" si="70"/>
        <v>0</v>
      </c>
      <c r="BC71" s="2"/>
      <c r="BM71" s="24"/>
      <c r="BO71" s="1"/>
      <c r="BQ71" s="1"/>
      <c r="BR71" s="1"/>
      <c r="BT71" s="1"/>
      <c r="BU71" s="28"/>
      <c r="BV71" s="1"/>
    </row>
    <row r="72" spans="1:86" x14ac:dyDescent="0.2">
      <c r="A72">
        <f t="shared" si="6"/>
        <v>2018</v>
      </c>
      <c r="B72" s="2">
        <f t="shared" si="48"/>
        <v>97318.434283537135</v>
      </c>
      <c r="C72" s="2"/>
      <c r="D72" s="2">
        <f t="shared" si="51"/>
        <v>65751.229272645796</v>
      </c>
      <c r="E72" s="2">
        <f t="shared" si="52"/>
        <v>36453.026811026335</v>
      </c>
      <c r="F72" s="2"/>
      <c r="G72" s="2">
        <f t="shared" si="47"/>
        <v>28277.717267631204</v>
      </c>
      <c r="H72" s="2">
        <f t="shared" si="23"/>
        <v>102346.88346319103</v>
      </c>
      <c r="I72" s="2">
        <f t="shared" ref="I72" si="73">SUM(B72:H72)</f>
        <v>330147.29109803151</v>
      </c>
      <c r="J72" s="2">
        <f>I72-I71</f>
        <v>-30500.266164055967</v>
      </c>
      <c r="K72" s="83">
        <f>(J72/I71)</f>
        <v>-8.4570838065848891E-2</v>
      </c>
      <c r="L72" s="7">
        <f t="shared" ref="L72" si="74">K72+1</f>
        <v>0.91542916193415114</v>
      </c>
      <c r="N72">
        <f t="shared" ref="N72" si="75">A72</f>
        <v>2018</v>
      </c>
      <c r="O72" s="2">
        <f t="shared" si="28"/>
        <v>10724.303056237877</v>
      </c>
      <c r="P72" s="2"/>
      <c r="R72">
        <f t="shared" ref="R72" si="76">A72</f>
        <v>2018</v>
      </c>
      <c r="S72" s="2">
        <f t="shared" ref="S72" si="77">B72-($O72/5)</f>
        <v>95173.573672289553</v>
      </c>
      <c r="T72" s="2"/>
      <c r="U72" s="2">
        <f t="shared" ref="U72" si="78">D72-($O72/5)</f>
        <v>63606.368661398221</v>
      </c>
      <c r="V72" s="2">
        <f t="shared" ref="V72" si="79">E72-($O72/5)</f>
        <v>34308.16619977876</v>
      </c>
      <c r="W72" s="2"/>
      <c r="X72" s="2">
        <f t="shared" ref="X72" si="80">G72-($O72/5)</f>
        <v>26132.856656383628</v>
      </c>
      <c r="Y72" s="2">
        <f t="shared" ref="Y72" si="81">H72-($O72/5)</f>
        <v>100202.02285194345</v>
      </c>
      <c r="Z72" s="2">
        <f t="shared" ref="Z72" si="82">SUM(S72:Y72)</f>
        <v>319422.98804179358</v>
      </c>
      <c r="AA72" s="2">
        <f>Z72-Z71</f>
        <v>-30732.033181101258</v>
      </c>
      <c r="AB72" s="83">
        <f>(AA72/Z71)</f>
        <v>-8.7766935552634734E-2</v>
      </c>
      <c r="AC72" s="7">
        <f t="shared" ref="AC72" si="83">AB72+1</f>
        <v>0.91223306444736529</v>
      </c>
      <c r="AD72" s="2">
        <f t="shared" ref="AD72" si="84">Z72-(I72-O72)</f>
        <v>0</v>
      </c>
      <c r="AE72" s="2"/>
      <c r="AG72">
        <f t="shared" ref="AG72" si="85">A72</f>
        <v>2018</v>
      </c>
      <c r="AH72" s="6">
        <f t="shared" ref="AH72" si="86">S72/$Z72</f>
        <v>0.29795467838976247</v>
      </c>
      <c r="AI72" s="7"/>
      <c r="AJ72" s="6">
        <f t="shared" ref="AJ72" si="87">U72/$Z72</f>
        <v>0.19912896392126889</v>
      </c>
      <c r="AK72" s="6">
        <f t="shared" ref="AK72" si="88">V72/$Z72</f>
        <v>0.10740669107788151</v>
      </c>
      <c r="AL72" s="7"/>
      <c r="AM72" s="6">
        <f t="shared" ref="AM72" si="89">X72/$Z72</f>
        <v>8.1812698630708391E-2</v>
      </c>
      <c r="AN72" s="6">
        <f t="shared" ref="AN72" si="90">Y72/$Z72</f>
        <v>0.31369696798037883</v>
      </c>
      <c r="AO72" s="6">
        <f t="shared" ref="AO72" si="91">SUM(AH72:AN72)</f>
        <v>1</v>
      </c>
      <c r="AP72" s="7">
        <f t="shared" ref="AP72" si="92">SUM(AH72:AM72)</f>
        <v>0.68630303201962128</v>
      </c>
      <c r="AQ72" s="7">
        <f t="shared" ref="AQ72" si="93">AO72-(AP72+AN72)</f>
        <v>0</v>
      </c>
      <c r="AR72" s="7"/>
      <c r="AS72">
        <f t="shared" ref="AS72" si="94">A72</f>
        <v>2018</v>
      </c>
      <c r="AT72" s="2">
        <f t="shared" ref="AT72" si="95">S72</f>
        <v>95173.573672289553</v>
      </c>
      <c r="AU72" s="2"/>
      <c r="AV72" s="2">
        <f t="shared" ref="AV72" si="96">U72</f>
        <v>63606.368661398221</v>
      </c>
      <c r="AW72" s="2">
        <f t="shared" ref="AW72" si="97">V72</f>
        <v>34308.16619977876</v>
      </c>
      <c r="AX72" s="2"/>
      <c r="AY72" s="2">
        <f t="shared" ref="AY72" si="98">X72</f>
        <v>26132.856656383628</v>
      </c>
      <c r="AZ72" s="2">
        <f t="shared" ref="AZ72" si="99">Y72</f>
        <v>100202.02285194345</v>
      </c>
      <c r="BA72" s="2">
        <f t="shared" ref="BA72" si="100">Z72</f>
        <v>319422.98804179358</v>
      </c>
      <c r="BB72" s="2">
        <f t="shared" ref="BB72:BB74" si="101">SUM(AT72:AZ72)-Z72</f>
        <v>0</v>
      </c>
      <c r="BC72" s="2"/>
      <c r="BM72" s="24"/>
      <c r="BO72" s="1"/>
      <c r="BQ72" s="1"/>
      <c r="BR72" s="1"/>
      <c r="BT72" s="1"/>
      <c r="BU72" s="28"/>
      <c r="BV72" s="1"/>
    </row>
    <row r="73" spans="1:86" x14ac:dyDescent="0.2">
      <c r="A73">
        <f t="shared" ref="A73:A74" si="102">A35</f>
        <v>2019</v>
      </c>
      <c r="B73" s="2">
        <f t="shared" ref="B73:B74" si="103">AT72*(1+(B35/100))</f>
        <v>125111.37300664495</v>
      </c>
      <c r="C73" s="2"/>
      <c r="D73" s="2">
        <f t="shared" ref="D73:E73" si="104">AV72*(1+(D35/100))</f>
        <v>83344.442558928669</v>
      </c>
      <c r="E73" s="2">
        <f t="shared" si="104"/>
        <v>43697.419276337008</v>
      </c>
      <c r="F73" s="2"/>
      <c r="G73" s="2">
        <f t="shared" ref="G73:H73" si="105">AY72*(1+(G35/100))</f>
        <v>31753.511466038617</v>
      </c>
      <c r="H73" s="2">
        <f t="shared" si="105"/>
        <v>108933.6271232618</v>
      </c>
      <c r="I73" s="2">
        <f t="shared" ref="I73:I74" si="106">SUM(B73:H73)</f>
        <v>392840.3734312111</v>
      </c>
      <c r="J73" s="2">
        <f t="shared" ref="J73:J74" si="107">I73-I72</f>
        <v>62693.082333179598</v>
      </c>
      <c r="K73" s="83">
        <f t="shared" ref="K73:K74" si="108">(J73/I72)</f>
        <v>0.18989428059418478</v>
      </c>
      <c r="L73" s="7">
        <f t="shared" ref="L73:L74" si="109">K73+1</f>
        <v>1.1898942805941848</v>
      </c>
      <c r="N73">
        <f t="shared" ref="N73:N74" si="110">A73</f>
        <v>2019</v>
      </c>
      <c r="O73" s="2">
        <f t="shared" ref="O73:O74" si="111">O72*(1+O35)</f>
        <v>10969.492544566767</v>
      </c>
      <c r="P73" s="2"/>
      <c r="R73">
        <f t="shared" ref="R73:R74" si="112">A73</f>
        <v>2019</v>
      </c>
      <c r="S73" s="2">
        <f t="shared" ref="S73:S74" si="113">B73-($O73/5)</f>
        <v>122917.4744977316</v>
      </c>
      <c r="T73" s="2"/>
      <c r="U73" s="2">
        <f t="shared" ref="U73:U74" si="114">D73-($O73/5)</f>
        <v>81150.54405001532</v>
      </c>
      <c r="V73" s="2">
        <f t="shared" ref="V73:V74" si="115">E73-($O73/5)</f>
        <v>41503.520767423652</v>
      </c>
      <c r="W73" s="2"/>
      <c r="X73" s="2">
        <f t="shared" ref="X73:X74" si="116">G73-($O73/5)</f>
        <v>29559.612957125264</v>
      </c>
      <c r="Y73" s="2">
        <f t="shared" ref="Y73:Y74" si="117">H73-($O73/5)</f>
        <v>106739.72861434845</v>
      </c>
      <c r="Z73" s="2">
        <f t="shared" ref="Z73:Z74" si="118">SUM(S73:Y73)</f>
        <v>381870.8808866443</v>
      </c>
      <c r="AA73" s="2">
        <f t="shared" ref="AA73:AA74" si="119">Z73-Z72</f>
        <v>62447.892844850721</v>
      </c>
      <c r="AB73" s="83">
        <f t="shared" ref="AB73:AB74" si="120">(AA73/Z72)</f>
        <v>0.19550218732748184</v>
      </c>
      <c r="AC73" s="7">
        <f t="shared" ref="AC73:AC74" si="121">AB73+1</f>
        <v>1.1955021873274818</v>
      </c>
      <c r="AD73" s="2">
        <f t="shared" ref="AD73:AD74" si="122">Z73-(I73-O73)</f>
        <v>0</v>
      </c>
      <c r="AE73" s="2"/>
      <c r="AG73">
        <f t="shared" ref="AG73:AG74" si="123">A73</f>
        <v>2019</v>
      </c>
      <c r="AH73" s="6">
        <f t="shared" ref="AH73:AH74" si="124">S73/$Z73</f>
        <v>0.32188229228774001</v>
      </c>
      <c r="AI73" s="7"/>
      <c r="AJ73" s="6">
        <f t="shared" ref="AJ73:AJ74" si="125">U73/$Z73</f>
        <v>0.2125078085597846</v>
      </c>
      <c r="AK73" s="6">
        <f t="shared" ref="AK73:AK74" si="126">V73/$Z73</f>
        <v>0.10868469643733764</v>
      </c>
      <c r="AL73" s="7"/>
      <c r="AM73" s="6">
        <f t="shared" ref="AM73:AM74" si="127">X73/$Z73</f>
        <v>7.7407350066840602E-2</v>
      </c>
      <c r="AN73" s="6">
        <f t="shared" ref="AN73:AN74" si="128">Y73/$Z73</f>
        <v>0.27951785264829709</v>
      </c>
      <c r="AO73" s="6">
        <f t="shared" ref="AO73:AO74" si="129">SUM(AH73:AN73)</f>
        <v>1</v>
      </c>
      <c r="AP73" s="7">
        <f t="shared" ref="AP73:AP74" si="130">SUM(AH73:AM73)</f>
        <v>0.72048214735170291</v>
      </c>
      <c r="AQ73" s="7">
        <f t="shared" ref="AQ73:AQ74" si="131">AO73-(AP73+AN73)</f>
        <v>0</v>
      </c>
      <c r="AR73" s="7"/>
      <c r="AS73">
        <f t="shared" ref="AS73:AS74" si="132">A73</f>
        <v>2019</v>
      </c>
      <c r="AT73" s="2">
        <f t="shared" ref="AT73:AT74" si="133">S73</f>
        <v>122917.4744977316</v>
      </c>
      <c r="AU73" s="2"/>
      <c r="AV73" s="2">
        <f t="shared" ref="AV73:AV74" si="134">U73</f>
        <v>81150.54405001532</v>
      </c>
      <c r="AW73" s="2">
        <f t="shared" ref="AW73:AW74" si="135">V73</f>
        <v>41503.520767423652</v>
      </c>
      <c r="AX73" s="2"/>
      <c r="AY73" s="2">
        <f t="shared" ref="AY73:AY74" si="136">X73</f>
        <v>29559.612957125264</v>
      </c>
      <c r="AZ73" s="2">
        <f t="shared" ref="AZ73:AZ74" si="137">Y73</f>
        <v>106739.72861434845</v>
      </c>
      <c r="BA73" s="2">
        <f t="shared" ref="BA73:BA74" si="138">Z73</f>
        <v>381870.8808866443</v>
      </c>
      <c r="BB73" s="2">
        <f t="shared" si="101"/>
        <v>0</v>
      </c>
      <c r="BC73" s="2"/>
      <c r="BM73" s="24"/>
      <c r="BO73" s="1"/>
      <c r="BQ73" s="1"/>
      <c r="BR73" s="1"/>
      <c r="BT73" s="1"/>
      <c r="BU73" s="28"/>
      <c r="BV73" s="1"/>
    </row>
    <row r="74" spans="1:86" x14ac:dyDescent="0.2">
      <c r="A74">
        <f t="shared" si="102"/>
        <v>2020</v>
      </c>
      <c r="B74" s="2">
        <f t="shared" si="103"/>
        <v>145497.4145629649</v>
      </c>
      <c r="C74" s="2"/>
      <c r="D74" s="2">
        <f t="shared" ref="D74:E74" si="139">AV73*(1+(D36/100))</f>
        <v>95952.403284738102</v>
      </c>
      <c r="E74" s="2">
        <f t="shared" si="139"/>
        <v>49434.843586078314</v>
      </c>
      <c r="F74" s="2"/>
      <c r="G74" s="2">
        <f t="shared" ref="G74:H74" si="140">AY73*(1+(G36/100))</f>
        <v>32893.937298688994</v>
      </c>
      <c r="H74" s="2">
        <f t="shared" si="140"/>
        <v>114980.03566337614</v>
      </c>
      <c r="I74" s="2">
        <f t="shared" si="106"/>
        <v>438758.63439584646</v>
      </c>
      <c r="J74" s="2">
        <f t="shared" si="107"/>
        <v>45918.260964635352</v>
      </c>
      <c r="K74" s="83">
        <f t="shared" si="108"/>
        <v>0.11688783554390939</v>
      </c>
      <c r="L74" s="7">
        <f t="shared" si="109"/>
        <v>1.1168878355439094</v>
      </c>
      <c r="N74">
        <f t="shared" si="110"/>
        <v>2020</v>
      </c>
      <c r="O74" s="2">
        <f t="shared" si="111"/>
        <v>11094.414029963191</v>
      </c>
      <c r="P74" s="2"/>
      <c r="R74">
        <f t="shared" si="112"/>
        <v>2020</v>
      </c>
      <c r="S74" s="2">
        <f t="shared" si="113"/>
        <v>143278.53175697225</v>
      </c>
      <c r="T74" s="2"/>
      <c r="U74" s="2">
        <f t="shared" si="114"/>
        <v>93733.520478745457</v>
      </c>
      <c r="V74" s="2">
        <f t="shared" si="115"/>
        <v>47215.960780085676</v>
      </c>
      <c r="W74" s="2"/>
      <c r="X74" s="2">
        <f t="shared" si="116"/>
        <v>30675.054492696356</v>
      </c>
      <c r="Y74" s="2">
        <f t="shared" si="117"/>
        <v>112761.15285738351</v>
      </c>
      <c r="Z74" s="2">
        <f t="shared" si="118"/>
        <v>427664.22036588332</v>
      </c>
      <c r="AA74" s="2">
        <f t="shared" si="119"/>
        <v>45793.339479239017</v>
      </c>
      <c r="AB74" s="83">
        <f t="shared" si="120"/>
        <v>0.11991838543152089</v>
      </c>
      <c r="AC74" s="7">
        <f t="shared" si="121"/>
        <v>1.1199183854315209</v>
      </c>
      <c r="AD74" s="2">
        <f t="shared" si="122"/>
        <v>0</v>
      </c>
      <c r="AE74" s="2"/>
      <c r="AG74">
        <f t="shared" si="123"/>
        <v>2020</v>
      </c>
      <c r="AH74" s="6">
        <f t="shared" si="124"/>
        <v>0.33502576304931919</v>
      </c>
      <c r="AI74" s="7"/>
      <c r="AJ74" s="6">
        <f t="shared" si="125"/>
        <v>0.21917550268421521</v>
      </c>
      <c r="AK74" s="6">
        <f t="shared" si="126"/>
        <v>0.11040428104948923</v>
      </c>
      <c r="AL74" s="7"/>
      <c r="AM74" s="6">
        <f t="shared" si="127"/>
        <v>7.1726960152178873E-2</v>
      </c>
      <c r="AN74" s="6">
        <f t="shared" si="128"/>
        <v>0.26366749306479736</v>
      </c>
      <c r="AO74" s="6">
        <f t="shared" si="129"/>
        <v>0.99999999999999978</v>
      </c>
      <c r="AP74" s="7">
        <f t="shared" si="130"/>
        <v>0.73633250693520247</v>
      </c>
      <c r="AQ74" s="7">
        <f t="shared" si="131"/>
        <v>0</v>
      </c>
      <c r="AR74" s="7"/>
      <c r="AS74">
        <f t="shared" si="132"/>
        <v>2020</v>
      </c>
      <c r="AT74" s="2">
        <f t="shared" si="133"/>
        <v>143278.53175697225</v>
      </c>
      <c r="AU74" s="2"/>
      <c r="AV74" s="2">
        <f t="shared" si="134"/>
        <v>93733.520478745457</v>
      </c>
      <c r="AW74" s="2">
        <f t="shared" si="135"/>
        <v>47215.960780085676</v>
      </c>
      <c r="AX74" s="2"/>
      <c r="AY74" s="2">
        <f t="shared" si="136"/>
        <v>30675.054492696356</v>
      </c>
      <c r="AZ74" s="2">
        <f t="shared" si="137"/>
        <v>112761.15285738351</v>
      </c>
      <c r="BA74" s="2">
        <f t="shared" si="138"/>
        <v>427664.22036588332</v>
      </c>
      <c r="BB74" s="2">
        <f t="shared" si="101"/>
        <v>0</v>
      </c>
      <c r="BC74" s="2"/>
      <c r="BM74" s="24"/>
      <c r="BO74" s="1"/>
      <c r="BQ74" s="1"/>
      <c r="BR74" s="1"/>
      <c r="BT74" s="1"/>
      <c r="BU74" s="28"/>
      <c r="BV74" s="1"/>
    </row>
    <row r="75" spans="1:86" x14ac:dyDescent="0.2">
      <c r="A75" s="9" t="s">
        <v>94</v>
      </c>
      <c r="B75" s="10">
        <f>AT74</f>
        <v>143278.53175697225</v>
      </c>
      <c r="C75" s="10"/>
      <c r="D75" s="10">
        <f>AV74</f>
        <v>93733.520478745457</v>
      </c>
      <c r="E75" s="10">
        <f>AW74</f>
        <v>47215.960780085676</v>
      </c>
      <c r="F75" s="10"/>
      <c r="G75" s="10">
        <f>AY74</f>
        <v>30675.054492696356</v>
      </c>
      <c r="H75" s="10">
        <f>AZ74</f>
        <v>112761.15285738351</v>
      </c>
      <c r="I75" s="10">
        <f>SUM(B75:H75)</f>
        <v>427664.22036588332</v>
      </c>
      <c r="J75" s="10"/>
      <c r="K75" s="10"/>
      <c r="L75" s="74"/>
      <c r="N75" t="s">
        <v>156</v>
      </c>
      <c r="O75" s="2">
        <f>O74</f>
        <v>11094.414029963191</v>
      </c>
      <c r="P75" s="2"/>
      <c r="R75" s="9" t="s">
        <v>94</v>
      </c>
      <c r="S75" s="10">
        <f>S74</f>
        <v>143278.53175697225</v>
      </c>
      <c r="T75" s="10"/>
      <c r="U75" s="10">
        <f>U74</f>
        <v>93733.520478745457</v>
      </c>
      <c r="V75" s="10">
        <f>V74</f>
        <v>47215.960780085676</v>
      </c>
      <c r="W75" s="10"/>
      <c r="X75" s="10">
        <f>X74</f>
        <v>30675.054492696356</v>
      </c>
      <c r="Y75" s="10">
        <f>Y74</f>
        <v>112761.15285738351</v>
      </c>
      <c r="Z75" s="10">
        <f>Z74</f>
        <v>427664.22036588332</v>
      </c>
      <c r="AA75" s="10"/>
      <c r="AB75" s="10"/>
      <c r="AC75" s="10"/>
      <c r="AD75" s="10"/>
      <c r="AE75" s="43"/>
      <c r="AG75" s="74" t="s">
        <v>132</v>
      </c>
      <c r="AH75" s="88">
        <f>AH74</f>
        <v>0.33502576304931919</v>
      </c>
      <c r="AI75" s="74"/>
      <c r="AJ75" s="88">
        <f>AJ74</f>
        <v>0.21917550268421521</v>
      </c>
      <c r="AK75" s="74"/>
      <c r="AL75" s="74"/>
      <c r="AM75" s="88">
        <f>AM74</f>
        <v>7.1726960152178873E-2</v>
      </c>
      <c r="AN75" s="88">
        <f>AN74</f>
        <v>0.26366749306479736</v>
      </c>
      <c r="AO75" s="88">
        <f>AO74</f>
        <v>0.99999999999999978</v>
      </c>
      <c r="AP75" s="88">
        <f>AP74</f>
        <v>0.73633250693520247</v>
      </c>
      <c r="AQ75" s="88">
        <f>AQ74</f>
        <v>0</v>
      </c>
    </row>
    <row r="76" spans="1:86" x14ac:dyDescent="0.2">
      <c r="A76" s="11" t="s">
        <v>157</v>
      </c>
      <c r="I76" s="6">
        <f>(Z75-Z41)/Z41</f>
        <v>3.2766422036588332</v>
      </c>
      <c r="K76" s="6"/>
      <c r="N76" t="s">
        <v>67</v>
      </c>
      <c r="O76" s="2">
        <f>SUM(O42:O74)</f>
        <v>270336.47731494257</v>
      </c>
      <c r="P76" s="2"/>
      <c r="AJ76" s="7"/>
    </row>
    <row r="77" spans="1:86" x14ac:dyDescent="0.2">
      <c r="A77" s="1" t="s">
        <v>158</v>
      </c>
      <c r="I77" s="12">
        <f>STDEV(AC42:AC74)</f>
        <v>0.10450323954131549</v>
      </c>
      <c r="AK77" s="89"/>
      <c r="AL77" s="89"/>
      <c r="AM77" s="90" t="s">
        <v>134</v>
      </c>
      <c r="AN77" s="89" t="b">
        <f>IF((AN74=AN75),TRUE,FALSE)</f>
        <v>1</v>
      </c>
      <c r="AO77" s="89"/>
      <c r="AP77" s="91" t="b">
        <f>IF(((SUM(AH74:AM74))=AP75),TRUE,FALSE)</f>
        <v>1</v>
      </c>
    </row>
    <row r="78" spans="1:86" x14ac:dyDescent="0.2">
      <c r="A78" s="1" t="s">
        <v>159</v>
      </c>
      <c r="I78" s="13">
        <f>((1+I76)^(1/I85))-1</f>
        <v>4.5019346963245832E-2</v>
      </c>
    </row>
    <row r="79" spans="1:86" x14ac:dyDescent="0.2">
      <c r="A79" s="1" t="s">
        <v>98</v>
      </c>
      <c r="I79" s="31">
        <f>J62</f>
        <v>-85899.188776732888</v>
      </c>
      <c r="O79" s="2"/>
      <c r="P79" s="2"/>
    </row>
    <row r="80" spans="1:86" x14ac:dyDescent="0.2">
      <c r="A80" s="1" t="s">
        <v>136</v>
      </c>
      <c r="I80" s="32">
        <f>K62</f>
        <v>-0.26879941737024393</v>
      </c>
    </row>
    <row r="81" spans="1:9" x14ac:dyDescent="0.2">
      <c r="A81" s="1" t="s">
        <v>103</v>
      </c>
      <c r="I81" s="2">
        <f>O76</f>
        <v>270336.47731494257</v>
      </c>
    </row>
    <row r="82" spans="1:9" x14ac:dyDescent="0.2">
      <c r="A82" s="3" t="s">
        <v>165</v>
      </c>
      <c r="B82" s="3"/>
      <c r="C82" s="3"/>
      <c r="D82" s="3"/>
      <c r="E82" s="3"/>
      <c r="F82" s="3"/>
      <c r="G82" s="3"/>
      <c r="H82" s="3"/>
      <c r="I82" s="33">
        <f>I75-Z75</f>
        <v>0</v>
      </c>
    </row>
    <row r="83" spans="1:9" x14ac:dyDescent="0.2">
      <c r="A83" s="3" t="s">
        <v>138</v>
      </c>
      <c r="B83" s="3"/>
      <c r="C83" s="3"/>
      <c r="D83" s="3"/>
      <c r="E83" s="3"/>
      <c r="F83" s="3"/>
      <c r="G83" s="3"/>
      <c r="H83" s="3"/>
      <c r="I83" s="33">
        <f>((SUM(AA42:AA74)))-(I75-I41)</f>
        <v>0</v>
      </c>
    </row>
    <row r="84" spans="1:9" x14ac:dyDescent="0.2">
      <c r="A84" s="3" t="s">
        <v>160</v>
      </c>
      <c r="B84" s="3"/>
      <c r="C84" s="3"/>
      <c r="D84" s="3"/>
      <c r="E84" s="3"/>
      <c r="F84" s="3"/>
      <c r="G84" s="3"/>
      <c r="H84" s="3"/>
      <c r="I84" s="33">
        <f>(SUM(O42:O74))-I81</f>
        <v>0</v>
      </c>
    </row>
    <row r="85" spans="1:9" x14ac:dyDescent="0.2">
      <c r="A85" s="3" t="s">
        <v>174</v>
      </c>
      <c r="B85" s="3"/>
      <c r="C85" s="3"/>
      <c r="D85" s="3"/>
      <c r="E85" s="3"/>
      <c r="F85" s="3"/>
      <c r="G85" s="3"/>
      <c r="H85" s="3"/>
      <c r="I85" s="75">
        <f>COUNTA(I42:I74)</f>
        <v>33</v>
      </c>
    </row>
    <row r="86" spans="1:9" x14ac:dyDescent="0.2">
      <c r="A86" s="95" t="s">
        <v>100</v>
      </c>
      <c r="B86" s="63"/>
      <c r="C86" s="63"/>
      <c r="D86" s="63"/>
      <c r="E86" s="63"/>
      <c r="G86" s="63"/>
      <c r="H86" s="63"/>
      <c r="I86" s="94">
        <f>AP75</f>
        <v>0.73633250693520247</v>
      </c>
    </row>
    <row r="87" spans="1:9" x14ac:dyDescent="0.2">
      <c r="A87" s="95" t="s">
        <v>179</v>
      </c>
      <c r="B87" s="2"/>
      <c r="D87" s="2"/>
      <c r="E87" s="2"/>
      <c r="G87" s="2"/>
      <c r="H87" s="2"/>
      <c r="I87" s="94">
        <f>AN75</f>
        <v>0.26366749306479736</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88"/>
  <sheetViews>
    <sheetView topLeftCell="A42" zoomScale="110" zoomScaleNormal="110" workbookViewId="0">
      <pane xSplit="33120" topLeftCell="AV1"/>
      <selection activeCell="H76" sqref="H76"/>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66406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65" x14ac:dyDescent="0.2">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5" spans="1:65" x14ac:dyDescent="0.2">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'4.5% Withdrawals-No Rebalancing'!N35</f>
        <v>2019</v>
      </c>
      <c r="O35" s="50">
        <f>'4.5% Withdrawals-No Rebalancing'!O35</f>
        <v>2.2862976460393248E-2</v>
      </c>
    </row>
    <row r="36" spans="1:65" x14ac:dyDescent="0.2">
      <c r="A36" s="17">
        <f>'Non-Rebalanced Portfolio'!A36</f>
        <v>2020</v>
      </c>
      <c r="B36" s="17">
        <f>'Non-Rebalanced Portfolio'!B36</f>
        <v>18.37</v>
      </c>
      <c r="C36" s="17"/>
      <c r="D36" s="17">
        <f>'Non-Rebalanced Portfolio'!D36</f>
        <v>18.239999999999998</v>
      </c>
      <c r="E36" s="17">
        <f>'Non-Rebalanced Portfolio'!E36</f>
        <v>19.11</v>
      </c>
      <c r="F36" s="17"/>
      <c r="G36" s="17">
        <f>'Non-Rebalanced Portfolio'!G36</f>
        <v>11.28</v>
      </c>
      <c r="H36" s="17">
        <f>'Non-Rebalanced Portfolio'!H36</f>
        <v>7.72</v>
      </c>
      <c r="N36" s="49">
        <f>'4.5% Withdrawals-No Rebalancing'!N36</f>
        <v>2020</v>
      </c>
      <c r="O36" s="50">
        <f>'4.5% Withdrawals-No Rebalancing'!O36</f>
        <v>1.1388082437623485E-2</v>
      </c>
    </row>
    <row r="39" spans="1:65" x14ac:dyDescent="0.2">
      <c r="A39" s="20" t="s">
        <v>166</v>
      </c>
      <c r="N39" s="20" t="s">
        <v>153</v>
      </c>
      <c r="R39" s="20" t="s">
        <v>167</v>
      </c>
      <c r="AG39" s="20" t="s">
        <v>168</v>
      </c>
      <c r="AS39" s="20" t="s">
        <v>163</v>
      </c>
      <c r="BC39" s="20" t="s">
        <v>169</v>
      </c>
    </row>
    <row r="40" spans="1:65"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O40" s="80">
        <v>4.4999999999999998E-2</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E40" s="5"/>
      <c r="AH40" s="4" t="str">
        <f t="shared" ref="AH40:AN41" si="2">B40</f>
        <v>LC Stocks</v>
      </c>
      <c r="AI40" s="4" t="str">
        <f t="shared" si="2"/>
        <v>Ext Mkt</v>
      </c>
      <c r="AJ40" s="4" t="str">
        <f t="shared" si="2"/>
        <v>Mcap Stk</v>
      </c>
      <c r="AK40" s="4" t="str">
        <f t="shared" si="2"/>
        <v>Small Cap</v>
      </c>
      <c r="AL40" s="4" t="str">
        <f t="shared" si="2"/>
        <v>Intl Val</v>
      </c>
      <c r="AM40" s="4" t="str">
        <f t="shared" si="2"/>
        <v>Tot Int Stk</v>
      </c>
      <c r="AN40" s="4" t="str">
        <f t="shared" si="2"/>
        <v>Bonds</v>
      </c>
      <c r="AO40" s="5"/>
      <c r="AP40" s="5" t="s">
        <v>124</v>
      </c>
      <c r="AQ40" s="5" t="s">
        <v>125</v>
      </c>
      <c r="AT40" s="4" t="str">
        <f t="shared" ref="AT40:AZ42" si="3">AH40</f>
        <v>LC Stocks</v>
      </c>
      <c r="AU40" s="4" t="str">
        <f t="shared" si="3"/>
        <v>Ext Mkt</v>
      </c>
      <c r="AV40" s="4" t="str">
        <f t="shared" si="3"/>
        <v>Mcap Stk</v>
      </c>
      <c r="AW40" s="4" t="str">
        <f t="shared" si="3"/>
        <v>Small Cap</v>
      </c>
      <c r="AX40" s="4" t="str">
        <f t="shared" si="3"/>
        <v>Intl Val</v>
      </c>
      <c r="AY40" s="4" t="str">
        <f t="shared" si="3"/>
        <v>Tot Int Stk</v>
      </c>
      <c r="AZ40" s="4" t="str">
        <f t="shared" si="3"/>
        <v>Bonds</v>
      </c>
      <c r="BA40" s="5"/>
      <c r="BD40" s="4" t="str">
        <f>AT40</f>
        <v>LC Stocks</v>
      </c>
      <c r="BE40" s="4" t="str">
        <f t="shared" ref="BE40:BK42" si="4">AU40</f>
        <v>Ext Mkt</v>
      </c>
      <c r="BF40" s="4" t="str">
        <f t="shared" si="4"/>
        <v>Mcap Stk</v>
      </c>
      <c r="BG40" s="4" t="str">
        <f t="shared" si="4"/>
        <v>Small Cap</v>
      </c>
      <c r="BH40" s="4" t="str">
        <f t="shared" si="4"/>
        <v>Intl Val</v>
      </c>
      <c r="BI40" s="4" t="str">
        <f t="shared" si="4"/>
        <v>Tot Int Stk</v>
      </c>
      <c r="BJ40" s="4" t="str">
        <f t="shared" si="4"/>
        <v>Bonds</v>
      </c>
      <c r="BK40" s="4"/>
      <c r="BL40" t="s">
        <v>144</v>
      </c>
    </row>
    <row r="41" spans="1:65"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E41" s="5"/>
      <c r="AG41" t="s">
        <v>126</v>
      </c>
      <c r="AH41" s="4" t="str">
        <f t="shared" si="2"/>
        <v>VFIAX</v>
      </c>
      <c r="AI41" s="4" t="str">
        <f t="shared" si="2"/>
        <v>VEXMX</v>
      </c>
      <c r="AJ41" s="4" t="str">
        <f t="shared" si="2"/>
        <v>VIMAX</v>
      </c>
      <c r="AK41" s="4" t="str">
        <f t="shared" si="2"/>
        <v>VSMAX</v>
      </c>
      <c r="AL41" s="4" t="str">
        <f t="shared" si="2"/>
        <v>VTRIX</v>
      </c>
      <c r="AM41" s="4" t="str">
        <f t="shared" si="2"/>
        <v>VTIAX</v>
      </c>
      <c r="AN41" s="4" t="str">
        <f t="shared" si="2"/>
        <v>VBTLX</v>
      </c>
      <c r="AO41" s="5" t="s">
        <v>67</v>
      </c>
      <c r="AP41" s="5" t="s">
        <v>125</v>
      </c>
      <c r="AQ41" s="5" t="s">
        <v>129</v>
      </c>
      <c r="AS41" t="str">
        <f>AG41</f>
        <v>Fund</v>
      </c>
      <c r="AT41" s="4" t="str">
        <f t="shared" si="3"/>
        <v>VFIAX</v>
      </c>
      <c r="AU41" s="4" t="str">
        <f t="shared" si="3"/>
        <v>VEXMX</v>
      </c>
      <c r="AV41" s="4" t="str">
        <f t="shared" si="3"/>
        <v>VIMAX</v>
      </c>
      <c r="AW41" s="4" t="str">
        <f t="shared" si="3"/>
        <v>VSMAX</v>
      </c>
      <c r="AX41" s="4" t="str">
        <f t="shared" si="3"/>
        <v>VTRIX</v>
      </c>
      <c r="AY41" s="4" t="str">
        <f t="shared" si="3"/>
        <v>VTIAX</v>
      </c>
      <c r="AZ41" s="4" t="str">
        <f t="shared" si="3"/>
        <v>VBTLX</v>
      </c>
      <c r="BA41" s="4" t="str">
        <f>AO41</f>
        <v>Total</v>
      </c>
      <c r="BC41" t="s">
        <v>126</v>
      </c>
      <c r="BD41" s="4" t="str">
        <f>AT41</f>
        <v>VFIAX</v>
      </c>
      <c r="BE41" s="4" t="str">
        <f t="shared" si="4"/>
        <v>VEXMX</v>
      </c>
      <c r="BF41" s="4" t="str">
        <f t="shared" si="4"/>
        <v>VIMAX</v>
      </c>
      <c r="BG41" s="4" t="str">
        <f t="shared" si="4"/>
        <v>VSMAX</v>
      </c>
      <c r="BH41" s="4" t="str">
        <f t="shared" si="4"/>
        <v>VTRIX</v>
      </c>
      <c r="BI41" s="4" t="str">
        <f t="shared" si="4"/>
        <v>VTIAX</v>
      </c>
      <c r="BJ41" s="4" t="str">
        <f t="shared" si="4"/>
        <v>VBTLX</v>
      </c>
      <c r="BK41" s="4" t="str">
        <f t="shared" si="4"/>
        <v>Total</v>
      </c>
      <c r="BL41" t="s">
        <v>129</v>
      </c>
    </row>
    <row r="42" spans="1:65" x14ac:dyDescent="0.2">
      <c r="A42" t="s">
        <v>130</v>
      </c>
      <c r="B42" s="2">
        <v>60000</v>
      </c>
      <c r="C42" s="2">
        <v>0</v>
      </c>
      <c r="F42" s="2">
        <v>0</v>
      </c>
      <c r="H42" s="2">
        <v>40000</v>
      </c>
      <c r="I42" s="2">
        <f>SUM(B42:H42)</f>
        <v>100000</v>
      </c>
      <c r="N42" s="21"/>
      <c r="R42" t="str">
        <f>A42</f>
        <v>Stating Balance</v>
      </c>
      <c r="S42" s="2">
        <f>B42</f>
        <v>60000</v>
      </c>
      <c r="T42" s="2">
        <f t="shared" si="1"/>
        <v>0</v>
      </c>
      <c r="U42" s="2">
        <f t="shared" si="1"/>
        <v>0</v>
      </c>
      <c r="V42" s="2">
        <f t="shared" si="1"/>
        <v>0</v>
      </c>
      <c r="W42" s="2">
        <f t="shared" si="1"/>
        <v>0</v>
      </c>
      <c r="X42" s="2">
        <f t="shared" si="1"/>
        <v>0</v>
      </c>
      <c r="Y42" s="2">
        <f t="shared" si="1"/>
        <v>40000</v>
      </c>
      <c r="Z42" s="2">
        <f t="shared" si="1"/>
        <v>100000</v>
      </c>
      <c r="AD42" s="2"/>
      <c r="AE42" s="2"/>
      <c r="AG42" s="21" t="s">
        <v>131</v>
      </c>
      <c r="AH42" s="6">
        <f t="shared" ref="AH42:AI57" si="5">S42/$Z42</f>
        <v>0.6</v>
      </c>
      <c r="AI42" s="6">
        <f t="shared" si="5"/>
        <v>0</v>
      </c>
      <c r="AJ42" s="23">
        <v>0</v>
      </c>
      <c r="AK42" s="23">
        <v>0</v>
      </c>
      <c r="AL42" s="6">
        <f>W42/$Z42</f>
        <v>0</v>
      </c>
      <c r="AM42" s="23">
        <v>0</v>
      </c>
      <c r="AN42" s="6">
        <f>Y42/$Z42</f>
        <v>0.4</v>
      </c>
      <c r="AO42" s="6">
        <f>Z42/$Z42</f>
        <v>1</v>
      </c>
      <c r="AP42" s="24"/>
      <c r="AR42" s="24"/>
      <c r="AS42" s="21" t="str">
        <f>AG42</f>
        <v>Target Allocation</v>
      </c>
      <c r="AT42" s="24">
        <f t="shared" si="3"/>
        <v>0.6</v>
      </c>
      <c r="AU42" s="24">
        <f t="shared" si="3"/>
        <v>0</v>
      </c>
      <c r="AV42" s="25">
        <f t="shared" si="3"/>
        <v>0</v>
      </c>
      <c r="AW42" s="25">
        <f t="shared" si="3"/>
        <v>0</v>
      </c>
      <c r="AX42" s="24">
        <f t="shared" si="3"/>
        <v>0</v>
      </c>
      <c r="AY42" s="25">
        <f t="shared" si="3"/>
        <v>0</v>
      </c>
      <c r="AZ42" s="24">
        <f t="shared" si="3"/>
        <v>0.4</v>
      </c>
      <c r="BA42" s="24">
        <f>AO42</f>
        <v>1</v>
      </c>
      <c r="BC42" s="21" t="str">
        <f>AS42</f>
        <v>Target Allocation</v>
      </c>
      <c r="BD42" s="24">
        <f>AT42</f>
        <v>0.6</v>
      </c>
      <c r="BE42" s="24">
        <f t="shared" si="4"/>
        <v>0</v>
      </c>
      <c r="BF42" s="25">
        <f t="shared" si="4"/>
        <v>0</v>
      </c>
      <c r="BG42" s="25">
        <f t="shared" si="4"/>
        <v>0</v>
      </c>
      <c r="BH42" s="24">
        <f t="shared" si="4"/>
        <v>0</v>
      </c>
      <c r="BI42" s="25">
        <f t="shared" si="4"/>
        <v>0</v>
      </c>
      <c r="BJ42" s="24">
        <f t="shared" si="4"/>
        <v>0.4</v>
      </c>
      <c r="BK42" s="24">
        <f t="shared" si="4"/>
        <v>1</v>
      </c>
      <c r="BL42" s="2"/>
    </row>
    <row r="43" spans="1:65" x14ac:dyDescent="0.2">
      <c r="A43">
        <f t="shared" ref="A43:A73" si="6">A4</f>
        <v>1988</v>
      </c>
      <c r="B43" s="2">
        <f>B42*(1+(B4/100))</f>
        <v>69732</v>
      </c>
      <c r="C43" s="2"/>
      <c r="D43" s="2"/>
      <c r="E43" s="2"/>
      <c r="F43" s="2"/>
      <c r="G43" s="2"/>
      <c r="H43" s="2">
        <f>H42*(1+(H4/100))</f>
        <v>42939.999999999993</v>
      </c>
      <c r="I43" s="2">
        <f>SUM(B43:H43)</f>
        <v>112672</v>
      </c>
      <c r="J43" s="2">
        <f>I43-I42</f>
        <v>12672</v>
      </c>
      <c r="K43" s="83">
        <f>(J43/I42)</f>
        <v>0.12672</v>
      </c>
      <c r="L43" s="7">
        <f>K43+1</f>
        <v>1.1267199999999999</v>
      </c>
      <c r="N43">
        <f>A43</f>
        <v>1988</v>
      </c>
      <c r="O43" s="2">
        <f>I43*0.045</f>
        <v>5070.24</v>
      </c>
      <c r="P43" s="2"/>
      <c r="Q43" s="2"/>
      <c r="R43">
        <f>A43</f>
        <v>1988</v>
      </c>
      <c r="S43" s="2">
        <f>B43-($O43*0.6)</f>
        <v>66689.856</v>
      </c>
      <c r="T43" s="2"/>
      <c r="U43" s="2"/>
      <c r="V43" s="2"/>
      <c r="W43" s="2"/>
      <c r="X43" s="2"/>
      <c r="Y43" s="2">
        <f>H43-($O43*0.4)</f>
        <v>40911.903999999995</v>
      </c>
      <c r="Z43" s="2">
        <f>SUM(S43:Y43)</f>
        <v>107601.76</v>
      </c>
      <c r="AA43" s="2">
        <f>Z43-Z42</f>
        <v>7601.7599999999948</v>
      </c>
      <c r="AB43" s="83">
        <f>(AA43/Z42)</f>
        <v>7.6017599999999949E-2</v>
      </c>
      <c r="AC43" s="7">
        <f>AB43+1</f>
        <v>1.0760175999999999</v>
      </c>
      <c r="AD43" s="2">
        <f>Z43-(I43-O43)</f>
        <v>0</v>
      </c>
      <c r="AE43" s="2"/>
      <c r="AG43">
        <f>A43</f>
        <v>1988</v>
      </c>
      <c r="AH43" s="6">
        <f t="shared" si="5"/>
        <v>0.61978406301160871</v>
      </c>
      <c r="AI43" s="6">
        <f t="shared" si="5"/>
        <v>0</v>
      </c>
      <c r="AJ43" s="7"/>
      <c r="AK43" s="7"/>
      <c r="AL43" s="6">
        <f>W43/$Z43</f>
        <v>0</v>
      </c>
      <c r="AM43" s="7"/>
      <c r="AN43" s="6">
        <f>Y43/$Z43</f>
        <v>0.38021593698839123</v>
      </c>
      <c r="AO43" s="6">
        <f>SUM(AH43:AN43)</f>
        <v>1</v>
      </c>
      <c r="AP43" s="7">
        <f>SUM(AH43:AM43)</f>
        <v>0.61978406301160871</v>
      </c>
      <c r="AQ43" s="7">
        <f>AO43-(AP43+AN43)</f>
        <v>0</v>
      </c>
      <c r="AR43" s="24"/>
      <c r="AS43">
        <f>AG43</f>
        <v>1988</v>
      </c>
      <c r="AT43" s="1" t="b">
        <f>AND((S43/$Z43)&gt;0.15,(S43/$Z43)&lt;0.25)</f>
        <v>0</v>
      </c>
      <c r="AU43" s="1" t="b">
        <f>AND((T43/$Z43)&gt;0.25,(T43/$Z43)&lt;0.35)</f>
        <v>0</v>
      </c>
      <c r="AX43" s="1" t="b">
        <f t="shared" ref="AX43:AX51" si="7">AND((W43/$Z43)&gt;0.15,(W43/$Z43)&lt;0.25)</f>
        <v>0</v>
      </c>
      <c r="AZ43" s="1" t="b">
        <f>AND((Y43/$Z43)&gt;0.25,(Y43/$Z43)&lt;0.35)</f>
        <v>0</v>
      </c>
      <c r="BA43" s="1" t="b">
        <f>AND((Z43/$Z43)&gt;0.999,(Z43/$Z43)&lt;1.01)</f>
        <v>1</v>
      </c>
      <c r="BC43">
        <f>AS43</f>
        <v>1988</v>
      </c>
      <c r="BD43" s="2">
        <f t="shared" ref="BD43:BE53" si="8">$BK43*BD$42</f>
        <v>64561.055999999997</v>
      </c>
      <c r="BE43" s="2">
        <f t="shared" si="8"/>
        <v>0</v>
      </c>
      <c r="BF43" s="2"/>
      <c r="BG43" s="2"/>
      <c r="BH43" s="2">
        <f t="shared" ref="BH43:BH51" si="9">$BK43*BH$42</f>
        <v>0</v>
      </c>
      <c r="BI43" s="2"/>
      <c r="BJ43" s="2">
        <f t="shared" ref="BJ43:BJ71" si="10">$BK43*BJ$42</f>
        <v>43040.703999999998</v>
      </c>
      <c r="BK43" s="2">
        <f>Z43</f>
        <v>107601.76</v>
      </c>
      <c r="BL43" s="2">
        <f>SUM(BD43:BJ43)-Z43</f>
        <v>0</v>
      </c>
      <c r="BM43" s="2"/>
    </row>
    <row r="44" spans="1:65" x14ac:dyDescent="0.2">
      <c r="A44">
        <f t="shared" si="6"/>
        <v>1989</v>
      </c>
      <c r="B44" s="2">
        <f t="shared" ref="B44:B73" si="11">BD43*(1+(B5/100))</f>
        <v>84807.403161599999</v>
      </c>
      <c r="C44" s="2"/>
      <c r="D44" s="2"/>
      <c r="E44" s="2"/>
      <c r="F44" s="2"/>
      <c r="G44" s="2"/>
      <c r="H44" s="2">
        <f t="shared" ref="H44:H73" si="12">BJ43*(1+(H5/100))</f>
        <v>48911.456025600004</v>
      </c>
      <c r="I44" s="2">
        <f>SUM(B44:H44)</f>
        <v>133718.8591872</v>
      </c>
      <c r="J44" s="2">
        <f t="shared" ref="J44:J71" si="13">I44-I43</f>
        <v>21046.859187199996</v>
      </c>
      <c r="K44" s="83">
        <f t="shared" ref="K44:K71" si="14">(J44/I43)</f>
        <v>0.18679759999999995</v>
      </c>
      <c r="L44" s="7">
        <f t="shared" ref="L44:L71" si="15">K44+1</f>
        <v>1.1867976</v>
      </c>
      <c r="N44">
        <f t="shared" ref="N44:N71" si="16">A44</f>
        <v>1989</v>
      </c>
      <c r="O44" s="2">
        <f t="shared" ref="O44:O73" si="17">O43*(1+O5)</f>
        <v>5303.4710400000004</v>
      </c>
      <c r="P44" s="2"/>
      <c r="Q44" s="2"/>
      <c r="R44">
        <f t="shared" ref="R44:R71" si="18">A44</f>
        <v>1989</v>
      </c>
      <c r="S44" s="2">
        <f t="shared" ref="S44:S71" si="19">B44-($O44*0.6)</f>
        <v>81625.320537599997</v>
      </c>
      <c r="T44" s="2"/>
      <c r="U44" s="2"/>
      <c r="V44" s="2"/>
      <c r="W44" s="2"/>
      <c r="X44" s="2"/>
      <c r="Y44" s="2">
        <f t="shared" ref="Y44:Y71" si="20">H44-($O44*0.4)</f>
        <v>46790.067609600002</v>
      </c>
      <c r="Z44" s="2">
        <f t="shared" ref="Z44:Z71" si="21">SUM(S44:Y44)</f>
        <v>128415.38814719999</v>
      </c>
      <c r="AA44" s="2">
        <f t="shared" ref="AA44:AA58" si="22">Z44-Z43</f>
        <v>20813.628147199997</v>
      </c>
      <c r="AB44" s="83">
        <f t="shared" ref="AB44:AB58" si="23">(AA44/Z43)</f>
        <v>0.19343204188481675</v>
      </c>
      <c r="AC44" s="7">
        <f t="shared" ref="AC44:AC71" si="24">AB44+1</f>
        <v>1.1934320418848168</v>
      </c>
      <c r="AD44" s="2">
        <f t="shared" ref="AD44:AD71" si="25">Z44-(I44-O44)</f>
        <v>0</v>
      </c>
      <c r="AE44" s="2"/>
      <c r="AG44">
        <f t="shared" ref="AG44:AG71" si="26">A44</f>
        <v>1989</v>
      </c>
      <c r="AH44" s="6">
        <f t="shared" si="5"/>
        <v>0.63563504121511138</v>
      </c>
      <c r="AI44" s="6">
        <f t="shared" si="5"/>
        <v>0</v>
      </c>
      <c r="AJ44" s="7"/>
      <c r="AK44" s="7"/>
      <c r="AL44" s="6">
        <f t="shared" ref="AL44:AM59" si="27">W44/$Z44</f>
        <v>0</v>
      </c>
      <c r="AM44" s="7"/>
      <c r="AN44" s="6">
        <f t="shared" ref="AN44:AN71" si="28">Y44/$Z44</f>
        <v>0.36436495878488862</v>
      </c>
      <c r="AO44" s="6">
        <f t="shared" ref="AO44:AO68" si="29">SUM(AH44:AN44)</f>
        <v>1</v>
      </c>
      <c r="AP44" s="7">
        <f t="shared" ref="AP44:AP68" si="30">SUM(AH44:AM44)</f>
        <v>0.63563504121511138</v>
      </c>
      <c r="AQ44" s="7">
        <f t="shared" ref="AQ44:AQ71" si="31">AO44-(AP44+AN44)</f>
        <v>0</v>
      </c>
      <c r="AR44" s="24"/>
      <c r="AS44">
        <f t="shared" ref="AS44:AS71" si="32">AG44</f>
        <v>1989</v>
      </c>
      <c r="AT44" s="1" t="b">
        <f t="shared" ref="AT44:AT71" si="33">AND((S44/$Z44)&gt;0.15,(S44/$Z44)&lt;0.25)</f>
        <v>0</v>
      </c>
      <c r="AU44" s="1" t="b">
        <f t="shared" ref="AU44:AU53" si="34">AND((T44/$Z44)&gt;0.25,(T44/$Z44)&lt;0.35)</f>
        <v>0</v>
      </c>
      <c r="AX44" s="1" t="b">
        <f t="shared" si="7"/>
        <v>0</v>
      </c>
      <c r="AZ44" s="1" t="b">
        <f t="shared" ref="AZ44:AZ71" si="35">AND((Y44/$Z44)&gt;0.25,(Y44/$Z44)&lt;0.35)</f>
        <v>0</v>
      </c>
      <c r="BA44" s="1" t="b">
        <f t="shared" ref="BA44:BA71" si="36">AND((Z44/$Z44)&gt;0.999,(Z44/$Z44)&lt;1.01)</f>
        <v>1</v>
      </c>
      <c r="BC44">
        <f t="shared" ref="BC44:BC71" si="37">AS44</f>
        <v>1989</v>
      </c>
      <c r="BD44" s="2">
        <f t="shared" si="8"/>
        <v>77049.232888319995</v>
      </c>
      <c r="BE44" s="2">
        <f t="shared" si="8"/>
        <v>0</v>
      </c>
      <c r="BF44" s="2"/>
      <c r="BG44" s="2"/>
      <c r="BH44" s="2">
        <f t="shared" si="9"/>
        <v>0</v>
      </c>
      <c r="BI44" s="2"/>
      <c r="BJ44" s="2">
        <f t="shared" si="10"/>
        <v>51366.155258879997</v>
      </c>
      <c r="BK44" s="2">
        <f t="shared" ref="BK44:BK71" si="38">Z44</f>
        <v>128415.38814719999</v>
      </c>
      <c r="BL44" s="2">
        <f t="shared" ref="BL44:BL71" si="39">SUM(BD44:BJ44)-Z44</f>
        <v>0</v>
      </c>
      <c r="BM44" s="2"/>
    </row>
    <row r="45" spans="1:65" x14ac:dyDescent="0.2">
      <c r="A45">
        <f t="shared" si="6"/>
        <v>1990</v>
      </c>
      <c r="B45" s="2">
        <f t="shared" si="11"/>
        <v>74491.198356427776</v>
      </c>
      <c r="C45" s="2"/>
      <c r="D45" s="2"/>
      <c r="E45" s="2"/>
      <c r="F45" s="2"/>
      <c r="G45" s="2"/>
      <c r="H45" s="2">
        <f t="shared" si="12"/>
        <v>55809.327688773119</v>
      </c>
      <c r="I45" s="2">
        <f t="shared" ref="I45:I71" si="40">SUM(B45:H45)</f>
        <v>130300.5260452009</v>
      </c>
      <c r="J45" s="2">
        <f t="shared" si="13"/>
        <v>-3418.3331419991009</v>
      </c>
      <c r="K45" s="83">
        <f t="shared" si="14"/>
        <v>-2.5563582899055384E-2</v>
      </c>
      <c r="L45" s="7">
        <f t="shared" si="15"/>
        <v>0.97443641710094464</v>
      </c>
      <c r="N45">
        <f t="shared" si="16"/>
        <v>1990</v>
      </c>
      <c r="O45" s="2">
        <f t="shared" si="17"/>
        <v>5637.58971552</v>
      </c>
      <c r="P45" s="2"/>
      <c r="Q45" s="2"/>
      <c r="R45">
        <f t="shared" si="18"/>
        <v>1990</v>
      </c>
      <c r="S45" s="2">
        <f t="shared" si="19"/>
        <v>71108.644527115772</v>
      </c>
      <c r="T45" s="2"/>
      <c r="U45" s="2"/>
      <c r="V45" s="2"/>
      <c r="W45" s="2"/>
      <c r="X45" s="2"/>
      <c r="Y45" s="2">
        <f t="shared" si="20"/>
        <v>53554.291802565116</v>
      </c>
      <c r="Z45" s="2">
        <f t="shared" si="21"/>
        <v>124662.93632968089</v>
      </c>
      <c r="AA45" s="2">
        <f t="shared" si="22"/>
        <v>-3752.4518175191042</v>
      </c>
      <c r="AB45" s="83">
        <f t="shared" si="23"/>
        <v>-2.9221200602670326E-2</v>
      </c>
      <c r="AC45" s="7">
        <f t="shared" si="24"/>
        <v>0.97077879939732969</v>
      </c>
      <c r="AD45" s="2">
        <f t="shared" si="25"/>
        <v>0</v>
      </c>
      <c r="AE45" s="2"/>
      <c r="AG45">
        <f t="shared" si="26"/>
        <v>1990</v>
      </c>
      <c r="AH45" s="6">
        <f t="shared" si="5"/>
        <v>0.57040726474678405</v>
      </c>
      <c r="AI45" s="6">
        <f t="shared" si="5"/>
        <v>0</v>
      </c>
      <c r="AJ45" s="7"/>
      <c r="AK45" s="7"/>
      <c r="AL45" s="6">
        <f t="shared" si="27"/>
        <v>0</v>
      </c>
      <c r="AM45" s="7"/>
      <c r="AN45" s="6">
        <f t="shared" si="28"/>
        <v>0.42959273525321595</v>
      </c>
      <c r="AO45" s="6">
        <f t="shared" si="29"/>
        <v>1</v>
      </c>
      <c r="AP45" s="7">
        <f t="shared" si="30"/>
        <v>0.57040726474678405</v>
      </c>
      <c r="AQ45" s="7">
        <f t="shared" si="31"/>
        <v>0</v>
      </c>
      <c r="AR45" s="24"/>
      <c r="AS45">
        <f t="shared" si="32"/>
        <v>1990</v>
      </c>
      <c r="AT45" s="1" t="b">
        <f t="shared" si="33"/>
        <v>0</v>
      </c>
      <c r="AU45" s="1" t="b">
        <f t="shared" si="34"/>
        <v>0</v>
      </c>
      <c r="AX45" s="1" t="b">
        <f t="shared" si="7"/>
        <v>0</v>
      </c>
      <c r="AZ45" s="1" t="b">
        <f t="shared" si="35"/>
        <v>0</v>
      </c>
      <c r="BA45" s="1" t="b">
        <f t="shared" si="36"/>
        <v>1</v>
      </c>
      <c r="BC45">
        <f t="shared" si="37"/>
        <v>1990</v>
      </c>
      <c r="BD45" s="2">
        <f t="shared" si="8"/>
        <v>74797.761797808533</v>
      </c>
      <c r="BE45" s="2">
        <f t="shared" si="8"/>
        <v>0</v>
      </c>
      <c r="BF45" s="2"/>
      <c r="BG45" s="2"/>
      <c r="BH45" s="2">
        <f t="shared" si="9"/>
        <v>0</v>
      </c>
      <c r="BI45" s="2"/>
      <c r="BJ45" s="2">
        <f t="shared" si="10"/>
        <v>49865.174531872355</v>
      </c>
      <c r="BK45" s="2">
        <f t="shared" si="38"/>
        <v>124662.93632968089</v>
      </c>
      <c r="BL45" s="2">
        <f t="shared" si="39"/>
        <v>0</v>
      </c>
      <c r="BM45" s="2"/>
    </row>
    <row r="46" spans="1:65" x14ac:dyDescent="0.2">
      <c r="A46">
        <f t="shared" si="6"/>
        <v>1991</v>
      </c>
      <c r="B46" s="2">
        <f t="shared" si="11"/>
        <v>97401.645413106278</v>
      </c>
      <c r="C46" s="2"/>
      <c r="D46" s="2"/>
      <c r="E46" s="2"/>
      <c r="F46" s="2"/>
      <c r="G46" s="2"/>
      <c r="H46" s="2">
        <f t="shared" si="12"/>
        <v>57469.613647982893</v>
      </c>
      <c r="I46" s="2">
        <f t="shared" si="40"/>
        <v>154871.25906108916</v>
      </c>
      <c r="J46" s="2">
        <f t="shared" si="13"/>
        <v>24570.733015888269</v>
      </c>
      <c r="K46" s="83">
        <f t="shared" si="14"/>
        <v>0.18856971465613845</v>
      </c>
      <c r="L46" s="7">
        <f t="shared" si="15"/>
        <v>1.1885697146561385</v>
      </c>
      <c r="N46">
        <f t="shared" si="16"/>
        <v>1991</v>
      </c>
      <c r="O46" s="2">
        <f t="shared" si="17"/>
        <v>5806.7174069856001</v>
      </c>
      <c r="P46" s="2"/>
      <c r="Q46" s="2"/>
      <c r="R46">
        <f t="shared" si="18"/>
        <v>1991</v>
      </c>
      <c r="S46" s="2">
        <f t="shared" si="19"/>
        <v>93917.614968914917</v>
      </c>
      <c r="T46" s="2"/>
      <c r="U46" s="2"/>
      <c r="V46" s="2"/>
      <c r="W46" s="2"/>
      <c r="X46" s="2"/>
      <c r="Y46" s="2">
        <f t="shared" si="20"/>
        <v>55146.92668518865</v>
      </c>
      <c r="Z46" s="2">
        <f t="shared" si="21"/>
        <v>149064.54165410355</v>
      </c>
      <c r="AA46" s="2">
        <f t="shared" si="22"/>
        <v>24401.605324422664</v>
      </c>
      <c r="AB46" s="83">
        <f t="shared" si="23"/>
        <v>0.19574065911531804</v>
      </c>
      <c r="AC46" s="7">
        <f t="shared" si="24"/>
        <v>1.1957406591153181</v>
      </c>
      <c r="AD46" s="2">
        <f t="shared" si="25"/>
        <v>0</v>
      </c>
      <c r="AE46" s="2"/>
      <c r="AG46">
        <f t="shared" si="26"/>
        <v>1991</v>
      </c>
      <c r="AH46" s="6">
        <f t="shared" si="5"/>
        <v>0.63004664910080233</v>
      </c>
      <c r="AI46" s="6">
        <f t="shared" si="5"/>
        <v>0</v>
      </c>
      <c r="AJ46" s="7"/>
      <c r="AK46" s="7"/>
      <c r="AL46" s="6">
        <f t="shared" si="27"/>
        <v>0</v>
      </c>
      <c r="AM46" s="7"/>
      <c r="AN46" s="6">
        <f t="shared" si="28"/>
        <v>0.36995335089919773</v>
      </c>
      <c r="AO46" s="6">
        <f t="shared" si="29"/>
        <v>1</v>
      </c>
      <c r="AP46" s="7">
        <f t="shared" si="30"/>
        <v>0.63004664910080233</v>
      </c>
      <c r="AQ46" s="7">
        <f t="shared" si="31"/>
        <v>0</v>
      </c>
      <c r="AR46" s="24"/>
      <c r="AS46">
        <f t="shared" si="32"/>
        <v>1991</v>
      </c>
      <c r="AT46" s="1" t="b">
        <f t="shared" si="33"/>
        <v>0</v>
      </c>
      <c r="AU46" s="1" t="b">
        <f t="shared" si="34"/>
        <v>0</v>
      </c>
      <c r="AX46" s="1" t="b">
        <f t="shared" si="7"/>
        <v>0</v>
      </c>
      <c r="AZ46" s="1" t="b">
        <f t="shared" si="35"/>
        <v>0</v>
      </c>
      <c r="BA46" s="1" t="b">
        <f t="shared" si="36"/>
        <v>1</v>
      </c>
      <c r="BC46">
        <f t="shared" si="37"/>
        <v>1991</v>
      </c>
      <c r="BD46" s="2">
        <f t="shared" si="8"/>
        <v>89438.724992462128</v>
      </c>
      <c r="BE46" s="2">
        <f t="shared" si="8"/>
        <v>0</v>
      </c>
      <c r="BF46" s="2"/>
      <c r="BG46" s="2"/>
      <c r="BH46" s="2">
        <f t="shared" si="9"/>
        <v>0</v>
      </c>
      <c r="BI46" s="2"/>
      <c r="BJ46" s="2">
        <f t="shared" si="10"/>
        <v>59625.816661641424</v>
      </c>
      <c r="BK46" s="2">
        <f t="shared" si="38"/>
        <v>149064.54165410355</v>
      </c>
      <c r="BL46" s="2">
        <f t="shared" si="39"/>
        <v>0</v>
      </c>
      <c r="BM46" s="2"/>
    </row>
    <row r="47" spans="1:65" x14ac:dyDescent="0.2">
      <c r="A47">
        <f t="shared" si="6"/>
        <v>1992</v>
      </c>
      <c r="B47" s="2">
        <f t="shared" si="11"/>
        <v>96075.078386902824</v>
      </c>
      <c r="C47" s="2"/>
      <c r="D47" s="2"/>
      <c r="E47" s="2"/>
      <c r="F47" s="2"/>
      <c r="G47" s="2"/>
      <c r="H47" s="2">
        <f t="shared" si="12"/>
        <v>63883.099971282616</v>
      </c>
      <c r="I47" s="2">
        <f t="shared" si="40"/>
        <v>159958.17835818545</v>
      </c>
      <c r="J47" s="2">
        <f t="shared" si="13"/>
        <v>5086.9192970962904</v>
      </c>
      <c r="K47" s="83">
        <f t="shared" si="14"/>
        <v>3.2846115721766996E-2</v>
      </c>
      <c r="L47" s="7">
        <f t="shared" si="15"/>
        <v>1.032846115721767</v>
      </c>
      <c r="N47">
        <f t="shared" si="16"/>
        <v>1992</v>
      </c>
      <c r="O47" s="2">
        <f t="shared" si="17"/>
        <v>5980.9189291951679</v>
      </c>
      <c r="P47" s="2"/>
      <c r="Q47" s="2"/>
      <c r="R47">
        <f t="shared" si="18"/>
        <v>1992</v>
      </c>
      <c r="S47" s="2">
        <f t="shared" si="19"/>
        <v>92486.527029385717</v>
      </c>
      <c r="T47" s="2"/>
      <c r="U47" s="2"/>
      <c r="V47" s="2"/>
      <c r="W47" s="2"/>
      <c r="X47" s="2"/>
      <c r="Y47" s="2">
        <f t="shared" si="20"/>
        <v>61490.732399604545</v>
      </c>
      <c r="Z47" s="2">
        <f t="shared" si="21"/>
        <v>153977.25942899025</v>
      </c>
      <c r="AA47" s="2">
        <f t="shared" si="22"/>
        <v>4912.7177748866961</v>
      </c>
      <c r="AB47" s="83">
        <f t="shared" si="23"/>
        <v>3.2956984406703506E-2</v>
      </c>
      <c r="AC47" s="7">
        <f t="shared" si="24"/>
        <v>1.0329569844067035</v>
      </c>
      <c r="AD47" s="2">
        <f t="shared" si="25"/>
        <v>0</v>
      </c>
      <c r="AE47" s="2"/>
      <c r="AG47">
        <f t="shared" si="26"/>
        <v>1992</v>
      </c>
      <c r="AH47" s="6">
        <f t="shared" si="5"/>
        <v>0.60065055952004243</v>
      </c>
      <c r="AI47" s="38">
        <f t="shared" si="5"/>
        <v>0</v>
      </c>
      <c r="AJ47" s="7"/>
      <c r="AK47" s="7"/>
      <c r="AL47" s="38">
        <f t="shared" si="27"/>
        <v>0</v>
      </c>
      <c r="AM47" s="7"/>
      <c r="AN47" s="6">
        <f t="shared" si="28"/>
        <v>0.39934944047995768</v>
      </c>
      <c r="AO47" s="6">
        <f t="shared" si="29"/>
        <v>1</v>
      </c>
      <c r="AP47" s="7">
        <f t="shared" si="30"/>
        <v>0.60065055952004243</v>
      </c>
      <c r="AQ47" s="7">
        <f t="shared" si="31"/>
        <v>0</v>
      </c>
      <c r="AR47" s="24"/>
      <c r="AS47">
        <f t="shared" si="32"/>
        <v>1992</v>
      </c>
      <c r="AT47" s="1" t="b">
        <f t="shared" si="33"/>
        <v>0</v>
      </c>
      <c r="AU47" s="1" t="b">
        <f t="shared" si="34"/>
        <v>0</v>
      </c>
      <c r="AV47" s="1"/>
      <c r="AW47" s="1"/>
      <c r="AX47" s="1" t="b">
        <f t="shared" si="7"/>
        <v>0</v>
      </c>
      <c r="AY47" s="1"/>
      <c r="AZ47" s="1" t="b">
        <f t="shared" si="35"/>
        <v>0</v>
      </c>
      <c r="BA47" s="1" t="b">
        <f t="shared" si="36"/>
        <v>1</v>
      </c>
      <c r="BC47">
        <f t="shared" si="37"/>
        <v>1992</v>
      </c>
      <c r="BD47" s="2">
        <f t="shared" si="8"/>
        <v>92386.355657394146</v>
      </c>
      <c r="BE47" s="2">
        <f t="shared" si="8"/>
        <v>0</v>
      </c>
      <c r="BF47" s="2"/>
      <c r="BG47" s="2"/>
      <c r="BH47" s="2">
        <f t="shared" si="9"/>
        <v>0</v>
      </c>
      <c r="BI47" s="2"/>
      <c r="BJ47" s="2">
        <f t="shared" si="10"/>
        <v>61590.903771596102</v>
      </c>
      <c r="BK47" s="2">
        <f t="shared" si="38"/>
        <v>153977.25942899025</v>
      </c>
      <c r="BL47" s="2">
        <f t="shared" si="39"/>
        <v>0</v>
      </c>
      <c r="BM47" s="2"/>
    </row>
    <row r="48" spans="1:65" x14ac:dyDescent="0.2">
      <c r="A48">
        <f t="shared" si="6"/>
        <v>1993</v>
      </c>
      <c r="B48" s="2">
        <f t="shared" si="11"/>
        <v>101523.36623191042</v>
      </c>
      <c r="C48" s="2"/>
      <c r="D48" s="2"/>
      <c r="E48" s="2"/>
      <c r="F48" s="2"/>
      <c r="G48" s="2"/>
      <c r="H48" s="2">
        <f t="shared" si="12"/>
        <v>67552.903256686608</v>
      </c>
      <c r="I48" s="2">
        <f t="shared" si="40"/>
        <v>169076.26948859703</v>
      </c>
      <c r="J48" s="2">
        <f t="shared" si="13"/>
        <v>9118.0911304115725</v>
      </c>
      <c r="K48" s="83">
        <f t="shared" si="14"/>
        <v>5.7002969301100305E-2</v>
      </c>
      <c r="L48" s="7">
        <f t="shared" si="15"/>
        <v>1.0570029693011003</v>
      </c>
      <c r="N48">
        <f t="shared" si="16"/>
        <v>1993</v>
      </c>
      <c r="O48" s="2">
        <f t="shared" si="17"/>
        <v>6148.3846592126329</v>
      </c>
      <c r="P48" s="2"/>
      <c r="Q48" s="2"/>
      <c r="R48">
        <f t="shared" si="18"/>
        <v>1993</v>
      </c>
      <c r="S48" s="2">
        <f t="shared" si="19"/>
        <v>97834.33543638284</v>
      </c>
      <c r="T48" s="2"/>
      <c r="U48" s="2"/>
      <c r="V48" s="2"/>
      <c r="W48" s="2"/>
      <c r="X48" s="2"/>
      <c r="Y48" s="2">
        <f t="shared" si="20"/>
        <v>65093.549393001551</v>
      </c>
      <c r="Z48" s="2">
        <f t="shared" si="21"/>
        <v>162927.88482938439</v>
      </c>
      <c r="AA48" s="2">
        <f t="shared" si="22"/>
        <v>8950.6254003941431</v>
      </c>
      <c r="AB48" s="83">
        <f t="shared" si="23"/>
        <v>5.8129527915918688E-2</v>
      </c>
      <c r="AC48" s="7">
        <f t="shared" si="24"/>
        <v>1.0581295279159186</v>
      </c>
      <c r="AD48" s="2">
        <f t="shared" si="25"/>
        <v>0</v>
      </c>
      <c r="AE48" s="2"/>
      <c r="AG48">
        <f t="shared" si="26"/>
        <v>1993</v>
      </c>
      <c r="AH48" s="6">
        <f t="shared" si="5"/>
        <v>0.60047631219685615</v>
      </c>
      <c r="AI48" s="6">
        <f t="shared" si="5"/>
        <v>0</v>
      </c>
      <c r="AJ48" s="7"/>
      <c r="AK48" s="7"/>
      <c r="AL48" s="6">
        <f t="shared" si="27"/>
        <v>0</v>
      </c>
      <c r="AM48" s="7"/>
      <c r="AN48" s="6">
        <f t="shared" si="28"/>
        <v>0.3995236878031439</v>
      </c>
      <c r="AO48" s="6">
        <f t="shared" si="29"/>
        <v>1</v>
      </c>
      <c r="AP48" s="7">
        <f t="shared" si="30"/>
        <v>0.60047631219685615</v>
      </c>
      <c r="AQ48" s="7">
        <f t="shared" si="31"/>
        <v>0</v>
      </c>
      <c r="AR48" s="24"/>
      <c r="AS48">
        <f t="shared" si="32"/>
        <v>1993</v>
      </c>
      <c r="AT48" s="1" t="b">
        <f t="shared" si="33"/>
        <v>0</v>
      </c>
      <c r="AU48" s="1" t="b">
        <f t="shared" si="34"/>
        <v>0</v>
      </c>
      <c r="AV48" s="1"/>
      <c r="AW48" s="1"/>
      <c r="AX48" s="1" t="b">
        <f t="shared" si="7"/>
        <v>0</v>
      </c>
      <c r="AY48" s="1"/>
      <c r="AZ48" s="1" t="b">
        <f t="shared" si="35"/>
        <v>0</v>
      </c>
      <c r="BA48" s="1" t="b">
        <f t="shared" si="36"/>
        <v>1</v>
      </c>
      <c r="BC48">
        <f t="shared" si="37"/>
        <v>1993</v>
      </c>
      <c r="BD48" s="2">
        <f t="shared" si="8"/>
        <v>97756.730897630638</v>
      </c>
      <c r="BE48" s="2">
        <f t="shared" si="8"/>
        <v>0</v>
      </c>
      <c r="BF48" s="2"/>
      <c r="BG48" s="2"/>
      <c r="BH48" s="2">
        <f t="shared" si="9"/>
        <v>0</v>
      </c>
      <c r="BI48" s="2"/>
      <c r="BJ48" s="2">
        <f t="shared" si="10"/>
        <v>65171.153931753761</v>
      </c>
      <c r="BK48" s="2">
        <f t="shared" si="38"/>
        <v>162927.88482938439</v>
      </c>
      <c r="BL48" s="2">
        <f t="shared" si="39"/>
        <v>0</v>
      </c>
      <c r="BM48" s="2"/>
    </row>
    <row r="49" spans="1:65" x14ac:dyDescent="0.2">
      <c r="A49">
        <f t="shared" si="6"/>
        <v>1994</v>
      </c>
      <c r="B49" s="2">
        <f t="shared" si="11"/>
        <v>98910.260322222675</v>
      </c>
      <c r="C49" s="2"/>
      <c r="D49" s="2"/>
      <c r="E49" s="2"/>
      <c r="F49" s="2"/>
      <c r="G49" s="2"/>
      <c r="H49" s="2">
        <f t="shared" si="12"/>
        <v>63437.60123716911</v>
      </c>
      <c r="I49" s="2">
        <f t="shared" si="40"/>
        <v>162347.86155939178</v>
      </c>
      <c r="J49" s="2">
        <f t="shared" si="13"/>
        <v>-6728.4079292052484</v>
      </c>
      <c r="K49" s="83">
        <f t="shared" si="14"/>
        <v>-3.9795105188661799E-2</v>
      </c>
      <c r="L49" s="7">
        <f t="shared" si="15"/>
        <v>0.96020489481133819</v>
      </c>
      <c r="N49">
        <f t="shared" si="16"/>
        <v>1994</v>
      </c>
      <c r="O49" s="2">
        <f t="shared" si="17"/>
        <v>6308.2426603521617</v>
      </c>
      <c r="P49" s="2"/>
      <c r="Q49" s="2"/>
      <c r="R49">
        <f t="shared" si="18"/>
        <v>1994</v>
      </c>
      <c r="S49" s="2">
        <f t="shared" si="19"/>
        <v>95125.314726011376</v>
      </c>
      <c r="T49" s="2"/>
      <c r="U49" s="2"/>
      <c r="V49" s="2"/>
      <c r="W49" s="2"/>
      <c r="X49" s="2"/>
      <c r="Y49" s="2">
        <f t="shared" si="20"/>
        <v>60914.304173028242</v>
      </c>
      <c r="Z49" s="2">
        <f t="shared" si="21"/>
        <v>156039.61889903963</v>
      </c>
      <c r="AA49" s="2">
        <f t="shared" si="22"/>
        <v>-6888.2659303447581</v>
      </c>
      <c r="AB49" s="83">
        <f t="shared" si="23"/>
        <v>-4.2278005005454075E-2</v>
      </c>
      <c r="AC49" s="7">
        <f t="shared" si="24"/>
        <v>0.95772199499454591</v>
      </c>
      <c r="AD49" s="2">
        <f t="shared" si="25"/>
        <v>0</v>
      </c>
      <c r="AE49" s="2"/>
      <c r="AG49">
        <f t="shared" si="26"/>
        <v>1994</v>
      </c>
      <c r="AH49" s="6">
        <f t="shared" si="5"/>
        <v>0.60962283423390773</v>
      </c>
      <c r="AI49" s="6">
        <f t="shared" si="5"/>
        <v>0</v>
      </c>
      <c r="AJ49" s="7"/>
      <c r="AK49" s="7"/>
      <c r="AL49" s="6">
        <f t="shared" si="27"/>
        <v>0</v>
      </c>
      <c r="AM49" s="7"/>
      <c r="AN49" s="6">
        <f t="shared" si="28"/>
        <v>0.39037716576609216</v>
      </c>
      <c r="AO49" s="6">
        <f t="shared" si="29"/>
        <v>0.99999999999999989</v>
      </c>
      <c r="AP49" s="7">
        <f t="shared" si="30"/>
        <v>0.60962283423390773</v>
      </c>
      <c r="AQ49" s="7">
        <f t="shared" si="31"/>
        <v>0</v>
      </c>
      <c r="AR49" s="24"/>
      <c r="AS49">
        <f t="shared" si="32"/>
        <v>1994</v>
      </c>
      <c r="AT49" s="1" t="b">
        <f t="shared" si="33"/>
        <v>0</v>
      </c>
      <c r="AU49" s="1" t="b">
        <f t="shared" si="34"/>
        <v>0</v>
      </c>
      <c r="AV49" s="1"/>
      <c r="AW49" s="1"/>
      <c r="AX49" s="1" t="b">
        <f t="shared" si="7"/>
        <v>0</v>
      </c>
      <c r="AY49" s="1"/>
      <c r="AZ49" s="1" t="b">
        <f t="shared" si="35"/>
        <v>0</v>
      </c>
      <c r="BA49" s="1" t="b">
        <f t="shared" si="36"/>
        <v>1</v>
      </c>
      <c r="BC49">
        <f t="shared" si="37"/>
        <v>1994</v>
      </c>
      <c r="BD49" s="2">
        <f t="shared" si="8"/>
        <v>93623.77133942378</v>
      </c>
      <c r="BE49" s="2">
        <f t="shared" si="8"/>
        <v>0</v>
      </c>
      <c r="BF49" s="2"/>
      <c r="BG49" s="2"/>
      <c r="BH49" s="2">
        <f t="shared" si="9"/>
        <v>0</v>
      </c>
      <c r="BI49" s="2"/>
      <c r="BJ49" s="2">
        <f t="shared" si="10"/>
        <v>62415.847559615853</v>
      </c>
      <c r="BK49" s="2">
        <f t="shared" si="38"/>
        <v>156039.61889903963</v>
      </c>
      <c r="BL49" s="2">
        <f t="shared" si="39"/>
        <v>0</v>
      </c>
      <c r="BM49" s="2"/>
    </row>
    <row r="50" spans="1:65" x14ac:dyDescent="0.2">
      <c r="A50">
        <f t="shared" si="6"/>
        <v>1995</v>
      </c>
      <c r="B50" s="2">
        <f t="shared" si="11"/>
        <v>128685.87370603799</v>
      </c>
      <c r="C50" s="2"/>
      <c r="D50" s="2"/>
      <c r="E50" s="2"/>
      <c r="F50" s="2"/>
      <c r="G50" s="2"/>
      <c r="H50" s="2">
        <f t="shared" si="12"/>
        <v>73763.048645954012</v>
      </c>
      <c r="I50" s="2">
        <f t="shared" si="40"/>
        <v>202448.92235199199</v>
      </c>
      <c r="J50" s="2">
        <f t="shared" si="13"/>
        <v>40101.060792600212</v>
      </c>
      <c r="K50" s="83">
        <f t="shared" si="14"/>
        <v>0.24700701572179334</v>
      </c>
      <c r="L50" s="7">
        <f t="shared" si="15"/>
        <v>1.2470070157217934</v>
      </c>
      <c r="N50">
        <f t="shared" si="16"/>
        <v>1995</v>
      </c>
      <c r="O50" s="2">
        <f t="shared" si="17"/>
        <v>6465.9487268609655</v>
      </c>
      <c r="P50" s="2"/>
      <c r="Q50" s="2"/>
      <c r="R50">
        <f t="shared" si="18"/>
        <v>1995</v>
      </c>
      <c r="S50" s="2">
        <f t="shared" si="19"/>
        <v>124806.30446992141</v>
      </c>
      <c r="T50" s="2"/>
      <c r="U50" s="2"/>
      <c r="V50" s="2"/>
      <c r="W50" s="2"/>
      <c r="X50" s="2"/>
      <c r="Y50" s="2">
        <f t="shared" si="20"/>
        <v>71176.669155209631</v>
      </c>
      <c r="Z50" s="2">
        <f t="shared" si="21"/>
        <v>195982.97362513104</v>
      </c>
      <c r="AA50" s="2">
        <f t="shared" si="22"/>
        <v>39943.354726091406</v>
      </c>
      <c r="AB50" s="83">
        <f t="shared" si="23"/>
        <v>0.25598213458811031</v>
      </c>
      <c r="AC50" s="7">
        <f t="shared" si="24"/>
        <v>1.2559821345881104</v>
      </c>
      <c r="AD50" s="2">
        <f t="shared" si="25"/>
        <v>0</v>
      </c>
      <c r="AE50" s="2"/>
      <c r="AG50">
        <f t="shared" si="26"/>
        <v>1995</v>
      </c>
      <c r="AH50" s="6">
        <f t="shared" si="5"/>
        <v>0.63682217981163136</v>
      </c>
      <c r="AI50" s="6">
        <f t="shared" si="5"/>
        <v>0</v>
      </c>
      <c r="AJ50" s="7"/>
      <c r="AK50" s="7"/>
      <c r="AL50" s="6">
        <f t="shared" si="27"/>
        <v>0</v>
      </c>
      <c r="AM50" s="7"/>
      <c r="AN50" s="6">
        <f t="shared" si="28"/>
        <v>0.36317782018836864</v>
      </c>
      <c r="AO50" s="6">
        <f t="shared" si="29"/>
        <v>1</v>
      </c>
      <c r="AP50" s="7">
        <f t="shared" si="30"/>
        <v>0.63682217981163136</v>
      </c>
      <c r="AQ50" s="7">
        <f t="shared" si="31"/>
        <v>0</v>
      </c>
      <c r="AR50" s="24"/>
      <c r="AS50">
        <f t="shared" si="32"/>
        <v>1995</v>
      </c>
      <c r="AT50" s="1" t="b">
        <f t="shared" si="33"/>
        <v>0</v>
      </c>
      <c r="AU50" s="1" t="b">
        <f t="shared" si="34"/>
        <v>0</v>
      </c>
      <c r="AV50" s="1"/>
      <c r="AW50" s="1"/>
      <c r="AX50" s="1" t="b">
        <f t="shared" si="7"/>
        <v>0</v>
      </c>
      <c r="AY50" s="1"/>
      <c r="AZ50" s="1" t="b">
        <f t="shared" si="35"/>
        <v>0</v>
      </c>
      <c r="BA50" s="1" t="b">
        <f t="shared" si="36"/>
        <v>1</v>
      </c>
      <c r="BC50">
        <f t="shared" si="37"/>
        <v>1995</v>
      </c>
      <c r="BD50" s="2">
        <f t="shared" si="8"/>
        <v>117589.78417507862</v>
      </c>
      <c r="BE50" s="2">
        <f t="shared" si="8"/>
        <v>0</v>
      </c>
      <c r="BF50" s="2"/>
      <c r="BG50" s="2"/>
      <c r="BH50" s="2">
        <f t="shared" si="9"/>
        <v>0</v>
      </c>
      <c r="BI50" s="2"/>
      <c r="BJ50" s="2">
        <f t="shared" si="10"/>
        <v>78393.189450052421</v>
      </c>
      <c r="BK50" s="2">
        <f t="shared" si="38"/>
        <v>195982.97362513104</v>
      </c>
      <c r="BL50" s="2">
        <f t="shared" si="39"/>
        <v>0</v>
      </c>
      <c r="BM50" s="2"/>
    </row>
    <row r="51" spans="1:65" x14ac:dyDescent="0.2">
      <c r="A51">
        <f t="shared" si="6"/>
        <v>1996</v>
      </c>
      <c r="B51" s="2">
        <f t="shared" si="11"/>
        <v>144494.32679433661</v>
      </c>
      <c r="C51" s="2"/>
      <c r="D51" s="2"/>
      <c r="E51" s="2"/>
      <c r="F51" s="2"/>
      <c r="G51" s="2"/>
      <c r="H51" s="2">
        <f t="shared" si="12"/>
        <v>81199.665632364296</v>
      </c>
      <c r="I51" s="2">
        <f t="shared" si="40"/>
        <v>225693.99242670089</v>
      </c>
      <c r="J51" s="2">
        <f t="shared" si="13"/>
        <v>23245.070074708899</v>
      </c>
      <c r="K51" s="83">
        <f t="shared" si="14"/>
        <v>0.11481943101822681</v>
      </c>
      <c r="L51" s="7">
        <f t="shared" si="15"/>
        <v>1.1148194310182269</v>
      </c>
      <c r="N51">
        <f t="shared" si="16"/>
        <v>1996</v>
      </c>
      <c r="O51" s="2">
        <f t="shared" si="17"/>
        <v>6685.7909835742385</v>
      </c>
      <c r="P51" s="2"/>
      <c r="Q51" s="2"/>
      <c r="R51">
        <f t="shared" si="18"/>
        <v>1996</v>
      </c>
      <c r="S51" s="2">
        <f t="shared" si="19"/>
        <v>140482.85220419205</v>
      </c>
      <c r="T51" s="2"/>
      <c r="U51" s="2"/>
      <c r="V51" s="2"/>
      <c r="W51" s="2"/>
      <c r="X51" s="2"/>
      <c r="Y51" s="2">
        <f t="shared" si="20"/>
        <v>78525.349238934607</v>
      </c>
      <c r="Z51" s="2">
        <f t="shared" si="21"/>
        <v>219008.20144312666</v>
      </c>
      <c r="AA51" s="2">
        <f t="shared" si="22"/>
        <v>23025.227817995619</v>
      </c>
      <c r="AB51" s="83">
        <f t="shared" si="23"/>
        <v>0.11748585804212472</v>
      </c>
      <c r="AC51" s="7">
        <f t="shared" si="24"/>
        <v>1.1174858580421247</v>
      </c>
      <c r="AD51" s="2">
        <f t="shared" si="25"/>
        <v>0</v>
      </c>
      <c r="AE51" s="2"/>
      <c r="AG51">
        <f t="shared" si="26"/>
        <v>1996</v>
      </c>
      <c r="AH51" s="6">
        <f t="shared" si="5"/>
        <v>0.64145018898150019</v>
      </c>
      <c r="AI51" s="6">
        <f t="shared" si="5"/>
        <v>0</v>
      </c>
      <c r="AJ51" s="7"/>
      <c r="AK51" s="7"/>
      <c r="AL51" s="6">
        <f t="shared" si="27"/>
        <v>0</v>
      </c>
      <c r="AM51" s="6"/>
      <c r="AN51" s="38">
        <f t="shared" si="28"/>
        <v>0.35854981101849986</v>
      </c>
      <c r="AO51" s="6">
        <f t="shared" si="29"/>
        <v>1</v>
      </c>
      <c r="AP51" s="7">
        <f t="shared" si="30"/>
        <v>0.64145018898150019</v>
      </c>
      <c r="AQ51" s="7">
        <f t="shared" si="31"/>
        <v>0</v>
      </c>
      <c r="AR51" s="24"/>
      <c r="AS51">
        <f t="shared" si="32"/>
        <v>1996</v>
      </c>
      <c r="AT51" s="1" t="b">
        <f t="shared" si="33"/>
        <v>0</v>
      </c>
      <c r="AU51" s="1" t="b">
        <f t="shared" si="34"/>
        <v>0</v>
      </c>
      <c r="AV51" s="1"/>
      <c r="AW51" s="1"/>
      <c r="AX51" s="1" t="b">
        <f t="shared" si="7"/>
        <v>0</v>
      </c>
      <c r="AY51" s="1"/>
      <c r="AZ51" s="1" t="b">
        <f t="shared" si="35"/>
        <v>0</v>
      </c>
      <c r="BA51" s="1" t="b">
        <f t="shared" si="36"/>
        <v>1</v>
      </c>
      <c r="BC51">
        <f t="shared" si="37"/>
        <v>1996</v>
      </c>
      <c r="BD51" s="2">
        <f t="shared" si="8"/>
        <v>131404.92086587599</v>
      </c>
      <c r="BE51" s="2">
        <f t="shared" si="8"/>
        <v>0</v>
      </c>
      <c r="BF51" s="2"/>
      <c r="BG51" s="2"/>
      <c r="BH51" s="2">
        <f t="shared" si="9"/>
        <v>0</v>
      </c>
      <c r="BI51" s="2"/>
      <c r="BJ51" s="2">
        <f t="shared" si="10"/>
        <v>87603.280577250669</v>
      </c>
      <c r="BK51" s="2">
        <f t="shared" si="38"/>
        <v>219008.20144312666</v>
      </c>
      <c r="BL51" s="2">
        <f t="shared" si="39"/>
        <v>0</v>
      </c>
      <c r="BM51" s="2"/>
    </row>
    <row r="52" spans="1:65" x14ac:dyDescent="0.2">
      <c r="A52">
        <f t="shared" si="6"/>
        <v>1997</v>
      </c>
      <c r="B52" s="2">
        <f t="shared" si="11"/>
        <v>175018.21410126024</v>
      </c>
      <c r="C52" s="2"/>
      <c r="D52" s="2"/>
      <c r="E52" s="2"/>
      <c r="F52" s="2"/>
      <c r="G52" s="2"/>
      <c r="H52" s="2">
        <f t="shared" si="12"/>
        <v>95873.03026374313</v>
      </c>
      <c r="I52" s="2">
        <f t="shared" si="40"/>
        <v>270891.24436500337</v>
      </c>
      <c r="J52" s="2">
        <f t="shared" si="13"/>
        <v>45197.251938302477</v>
      </c>
      <c r="K52" s="83">
        <f t="shared" si="14"/>
        <v>0.20025899427952776</v>
      </c>
      <c r="L52" s="7">
        <f t="shared" si="15"/>
        <v>1.2002589942795279</v>
      </c>
      <c r="N52">
        <f t="shared" si="16"/>
        <v>1997</v>
      </c>
      <c r="O52" s="2">
        <f t="shared" si="17"/>
        <v>6799.4494302949997</v>
      </c>
      <c r="P52" s="2"/>
      <c r="Q52" s="2"/>
      <c r="R52">
        <f t="shared" si="18"/>
        <v>1997</v>
      </c>
      <c r="S52" s="2">
        <f t="shared" si="19"/>
        <v>170938.54444308323</v>
      </c>
      <c r="T52" s="2"/>
      <c r="U52" s="2"/>
      <c r="V52" s="2"/>
      <c r="W52" s="2"/>
      <c r="X52" s="2"/>
      <c r="Y52" s="2">
        <f t="shared" si="20"/>
        <v>93153.250491625135</v>
      </c>
      <c r="Z52" s="2">
        <f t="shared" si="21"/>
        <v>264091.79493470839</v>
      </c>
      <c r="AA52" s="2">
        <f t="shared" si="22"/>
        <v>45083.593491581734</v>
      </c>
      <c r="AB52" s="83">
        <f t="shared" si="23"/>
        <v>0.20585344838462274</v>
      </c>
      <c r="AC52" s="7">
        <f t="shared" si="24"/>
        <v>1.2058534483846228</v>
      </c>
      <c r="AD52" s="2">
        <f t="shared" si="25"/>
        <v>0</v>
      </c>
      <c r="AE52" s="2"/>
      <c r="AG52">
        <f t="shared" si="26"/>
        <v>1997</v>
      </c>
      <c r="AH52" s="6">
        <f t="shared" si="5"/>
        <v>0.6472694257136784</v>
      </c>
      <c r="AI52" s="6">
        <f t="shared" si="5"/>
        <v>0</v>
      </c>
      <c r="AJ52" s="7"/>
      <c r="AK52" s="7"/>
      <c r="AL52" s="6"/>
      <c r="AM52" s="6">
        <f t="shared" si="27"/>
        <v>0</v>
      </c>
      <c r="AN52" s="6">
        <f t="shared" si="28"/>
        <v>0.35273057428632149</v>
      </c>
      <c r="AO52" s="6">
        <f t="shared" si="29"/>
        <v>0.99999999999999989</v>
      </c>
      <c r="AP52" s="7">
        <f t="shared" si="30"/>
        <v>0.6472694257136784</v>
      </c>
      <c r="AQ52" s="7">
        <f t="shared" si="31"/>
        <v>0</v>
      </c>
      <c r="AR52" s="24"/>
      <c r="AS52">
        <f t="shared" si="32"/>
        <v>1997</v>
      </c>
      <c r="AT52" s="1" t="b">
        <f t="shared" si="33"/>
        <v>0</v>
      </c>
      <c r="AU52" s="1" t="b">
        <f t="shared" si="34"/>
        <v>0</v>
      </c>
      <c r="AV52" s="1"/>
      <c r="AW52" s="1"/>
      <c r="AX52" s="1"/>
      <c r="AY52" s="1" t="b">
        <f t="shared" ref="AY52:AY71" si="41">AND((X52/$Z52)&gt;0.15,(X52/$Z52)&lt;0.25)</f>
        <v>0</v>
      </c>
      <c r="AZ52" s="1" t="b">
        <f t="shared" si="35"/>
        <v>0</v>
      </c>
      <c r="BA52" s="1" t="b">
        <f t="shared" si="36"/>
        <v>1</v>
      </c>
      <c r="BC52">
        <f t="shared" si="37"/>
        <v>1997</v>
      </c>
      <c r="BD52" s="2">
        <f t="shared" si="8"/>
        <v>158455.07696082504</v>
      </c>
      <c r="BE52" s="2">
        <f t="shared" si="8"/>
        <v>0</v>
      </c>
      <c r="BF52" s="2"/>
      <c r="BG52" s="2"/>
      <c r="BH52" s="2"/>
      <c r="BI52" s="2">
        <f>$BK52*BI$42</f>
        <v>0</v>
      </c>
      <c r="BJ52" s="2">
        <f t="shared" si="10"/>
        <v>105636.71797388337</v>
      </c>
      <c r="BK52" s="2">
        <f t="shared" si="38"/>
        <v>264091.79493470839</v>
      </c>
      <c r="BL52" s="2">
        <f t="shared" si="39"/>
        <v>0</v>
      </c>
      <c r="BM52" s="2"/>
    </row>
    <row r="53" spans="1:65" x14ac:dyDescent="0.2">
      <c r="A53">
        <f t="shared" si="6"/>
        <v>1998</v>
      </c>
      <c r="B53" s="2">
        <f t="shared" si="11"/>
        <v>203868.30201779748</v>
      </c>
      <c r="C53" s="2"/>
      <c r="D53" s="2"/>
      <c r="E53" s="2"/>
      <c r="F53" s="2"/>
      <c r="G53" s="2"/>
      <c r="H53" s="2">
        <f t="shared" si="12"/>
        <v>114700.34837604257</v>
      </c>
      <c r="I53" s="2">
        <f t="shared" si="40"/>
        <v>318568.65039384004</v>
      </c>
      <c r="J53" s="2">
        <f t="shared" si="13"/>
        <v>47677.406028836675</v>
      </c>
      <c r="K53" s="83">
        <f t="shared" si="14"/>
        <v>0.17600201933656942</v>
      </c>
      <c r="L53" s="7">
        <f t="shared" si="15"/>
        <v>1.1760020193365694</v>
      </c>
      <c r="N53">
        <f t="shared" si="16"/>
        <v>1998</v>
      </c>
      <c r="O53" s="2">
        <f t="shared" si="17"/>
        <v>6908.2406211797197</v>
      </c>
      <c r="P53" s="2"/>
      <c r="Q53" s="2"/>
      <c r="R53">
        <f t="shared" si="18"/>
        <v>1998</v>
      </c>
      <c r="S53" s="2">
        <f t="shared" si="19"/>
        <v>199723.35764508965</v>
      </c>
      <c r="T53" s="2"/>
      <c r="U53" s="2"/>
      <c r="V53" s="2"/>
      <c r="W53" s="2"/>
      <c r="X53" s="2"/>
      <c r="Y53" s="2">
        <f t="shared" si="20"/>
        <v>111937.05212757069</v>
      </c>
      <c r="Z53" s="2">
        <f t="shared" si="21"/>
        <v>311660.40977266035</v>
      </c>
      <c r="AA53" s="2">
        <f t="shared" si="22"/>
        <v>47568.614837951958</v>
      </c>
      <c r="AB53" s="83">
        <f t="shared" si="23"/>
        <v>0.18012151740538695</v>
      </c>
      <c r="AC53" s="7">
        <f t="shared" si="24"/>
        <v>1.180121517405387</v>
      </c>
      <c r="AD53" s="2">
        <f t="shared" si="25"/>
        <v>0</v>
      </c>
      <c r="AE53" s="2"/>
      <c r="AG53">
        <f t="shared" si="26"/>
        <v>1998</v>
      </c>
      <c r="AH53" s="38">
        <f t="shared" si="5"/>
        <v>0.64083647259136056</v>
      </c>
      <c r="AI53" s="6">
        <f t="shared" si="5"/>
        <v>0</v>
      </c>
      <c r="AJ53" s="7"/>
      <c r="AK53" s="7"/>
      <c r="AL53" s="7"/>
      <c r="AM53" s="6">
        <f t="shared" si="27"/>
        <v>0</v>
      </c>
      <c r="AN53" s="6">
        <f t="shared" si="28"/>
        <v>0.35916352740863938</v>
      </c>
      <c r="AO53" s="6">
        <f t="shared" si="29"/>
        <v>1</v>
      </c>
      <c r="AP53" s="7">
        <f t="shared" si="30"/>
        <v>0.64083647259136056</v>
      </c>
      <c r="AQ53" s="7">
        <f t="shared" si="31"/>
        <v>0</v>
      </c>
      <c r="AR53" s="24"/>
      <c r="AS53">
        <f t="shared" si="32"/>
        <v>1998</v>
      </c>
      <c r="AT53" s="1" t="b">
        <f t="shared" si="33"/>
        <v>0</v>
      </c>
      <c r="AU53" s="1" t="b">
        <f t="shared" si="34"/>
        <v>0</v>
      </c>
      <c r="AV53" s="1"/>
      <c r="AW53" s="1"/>
      <c r="AX53" s="1"/>
      <c r="AY53" s="1" t="b">
        <f t="shared" si="41"/>
        <v>0</v>
      </c>
      <c r="AZ53" s="1" t="b">
        <f t="shared" si="35"/>
        <v>0</v>
      </c>
      <c r="BA53" s="1" t="b">
        <f t="shared" si="36"/>
        <v>1</v>
      </c>
      <c r="BC53">
        <f t="shared" si="37"/>
        <v>1998</v>
      </c>
      <c r="BD53" s="2">
        <f t="shared" si="8"/>
        <v>186996.24586359621</v>
      </c>
      <c r="BE53" s="2">
        <f t="shared" si="8"/>
        <v>0</v>
      </c>
      <c r="BF53" s="2"/>
      <c r="BG53" s="2"/>
      <c r="BH53" s="2"/>
      <c r="BI53" s="2">
        <f>$BK53*BI$42</f>
        <v>0</v>
      </c>
      <c r="BJ53" s="2">
        <f t="shared" si="10"/>
        <v>124664.16390906414</v>
      </c>
      <c r="BK53" s="2">
        <f t="shared" si="38"/>
        <v>311660.40977266035</v>
      </c>
      <c r="BL53" s="2">
        <f t="shared" si="39"/>
        <v>0</v>
      </c>
      <c r="BM53" s="2"/>
    </row>
    <row r="54" spans="1:65" x14ac:dyDescent="0.2">
      <c r="A54">
        <f t="shared" si="6"/>
        <v>1999</v>
      </c>
      <c r="B54" s="2">
        <f t="shared" si="11"/>
        <v>226396.35486705595</v>
      </c>
      <c r="C54" s="2"/>
      <c r="D54" s="2"/>
      <c r="E54" s="2"/>
      <c r="F54" s="2"/>
      <c r="G54" s="2"/>
      <c r="H54" s="2">
        <f t="shared" si="12"/>
        <v>123716.71626335525</v>
      </c>
      <c r="I54" s="2">
        <f t="shared" si="40"/>
        <v>350113.07113041123</v>
      </c>
      <c r="J54" s="2">
        <f t="shared" si="13"/>
        <v>31544.420736571192</v>
      </c>
      <c r="K54" s="83">
        <f t="shared" si="14"/>
        <v>9.9019224577099649E-2</v>
      </c>
      <c r="L54" s="7">
        <f t="shared" si="15"/>
        <v>1.0990192245770996</v>
      </c>
      <c r="N54">
        <f t="shared" si="16"/>
        <v>1999</v>
      </c>
      <c r="O54" s="2">
        <f t="shared" si="17"/>
        <v>7094.763117951572</v>
      </c>
      <c r="P54" s="2"/>
      <c r="Q54" s="2"/>
      <c r="R54">
        <f t="shared" si="18"/>
        <v>1999</v>
      </c>
      <c r="S54" s="2">
        <f t="shared" si="19"/>
        <v>222139.49699628502</v>
      </c>
      <c r="T54" s="2"/>
      <c r="U54" s="2"/>
      <c r="V54" s="2"/>
      <c r="W54" s="2"/>
      <c r="X54" s="2"/>
      <c r="Y54" s="2">
        <f t="shared" si="20"/>
        <v>120878.81101617462</v>
      </c>
      <c r="Z54" s="2">
        <f t="shared" si="21"/>
        <v>343018.30801245966</v>
      </c>
      <c r="AA54" s="2">
        <f t="shared" si="22"/>
        <v>31357.89823979931</v>
      </c>
      <c r="AB54" s="83">
        <f t="shared" si="23"/>
        <v>0.10061559715805168</v>
      </c>
      <c r="AC54" s="7">
        <f t="shared" si="24"/>
        <v>1.1006155971580518</v>
      </c>
      <c r="AD54" s="2">
        <f t="shared" si="25"/>
        <v>0</v>
      </c>
      <c r="AE54" s="2"/>
      <c r="AG54">
        <f t="shared" si="26"/>
        <v>1999</v>
      </c>
      <c r="AH54" s="6">
        <f t="shared" si="5"/>
        <v>0.6476024509695153</v>
      </c>
      <c r="AI54" s="7"/>
      <c r="AJ54" s="6">
        <f t="shared" ref="AJ54:AK69" si="42">U54/$Z54</f>
        <v>0</v>
      </c>
      <c r="AK54" s="6">
        <f t="shared" si="42"/>
        <v>0</v>
      </c>
      <c r="AL54" s="7"/>
      <c r="AM54" s="6">
        <f t="shared" si="27"/>
        <v>0</v>
      </c>
      <c r="AN54" s="6">
        <f t="shared" si="28"/>
        <v>0.35239754903048459</v>
      </c>
      <c r="AO54" s="6">
        <f t="shared" si="29"/>
        <v>0.99999999999999989</v>
      </c>
      <c r="AP54" s="7">
        <f t="shared" si="30"/>
        <v>0.6476024509695153</v>
      </c>
      <c r="AQ54" s="7">
        <f t="shared" si="31"/>
        <v>0</v>
      </c>
      <c r="AR54" s="24"/>
      <c r="AS54">
        <f t="shared" si="32"/>
        <v>1999</v>
      </c>
      <c r="AT54" s="1" t="b">
        <f t="shared" si="33"/>
        <v>0</v>
      </c>
      <c r="AU54" s="1"/>
      <c r="AV54" s="1" t="b">
        <f>AND((U54/$Z54)&gt;0.15,(U54/$Z54)&lt;0.25)</f>
        <v>0</v>
      </c>
      <c r="AW54" s="1" t="b">
        <f>AND((V54/$Z54)&gt;0.05,(V54/$Z54)&lt;0.15)</f>
        <v>0</v>
      </c>
      <c r="AX54" s="1"/>
      <c r="AY54" s="1" t="b">
        <f t="shared" si="41"/>
        <v>0</v>
      </c>
      <c r="AZ54" s="1" t="b">
        <f t="shared" si="35"/>
        <v>0</v>
      </c>
      <c r="BA54" s="1" t="b">
        <f t="shared" si="36"/>
        <v>1</v>
      </c>
      <c r="BC54">
        <f t="shared" si="37"/>
        <v>1999</v>
      </c>
      <c r="BD54" s="2">
        <f>$BK54*BD$42</f>
        <v>205810.98480747579</v>
      </c>
      <c r="BE54" s="2"/>
      <c r="BF54" s="2">
        <f t="shared" ref="BF54:BG69" si="43">$BK54*BF$42</f>
        <v>0</v>
      </c>
      <c r="BG54" s="2">
        <f t="shared" si="43"/>
        <v>0</v>
      </c>
      <c r="BH54" s="2"/>
      <c r="BI54" s="2">
        <f>$BK54*BI$42</f>
        <v>0</v>
      </c>
      <c r="BJ54" s="2">
        <f t="shared" si="10"/>
        <v>137207.32320498387</v>
      </c>
      <c r="BK54" s="2">
        <f t="shared" si="38"/>
        <v>343018.30801245966</v>
      </c>
      <c r="BL54" s="2">
        <f t="shared" si="39"/>
        <v>0</v>
      </c>
      <c r="BM54" s="2"/>
    </row>
    <row r="55" spans="1:65" x14ac:dyDescent="0.2">
      <c r="A55">
        <f t="shared" si="6"/>
        <v>2000</v>
      </c>
      <c r="B55" s="2">
        <f t="shared" si="11"/>
        <v>187164.50958391849</v>
      </c>
      <c r="C55" s="2"/>
      <c r="D55" s="2"/>
      <c r="E55" s="2"/>
      <c r="F55" s="2"/>
      <c r="G55" s="2"/>
      <c r="H55" s="2">
        <f t="shared" si="12"/>
        <v>152835.23731803155</v>
      </c>
      <c r="I55" s="2">
        <f t="shared" si="40"/>
        <v>339999.74690195004</v>
      </c>
      <c r="J55" s="2">
        <f t="shared" si="13"/>
        <v>-10113.324228461192</v>
      </c>
      <c r="K55" s="83">
        <f t="shared" si="14"/>
        <v>-2.8885880198097912E-2</v>
      </c>
      <c r="L55" s="7">
        <f t="shared" si="15"/>
        <v>0.9711141198019021</v>
      </c>
      <c r="N55">
        <f t="shared" si="16"/>
        <v>2000</v>
      </c>
      <c r="O55" s="2">
        <f t="shared" si="17"/>
        <v>7335.9850639619253</v>
      </c>
      <c r="P55" s="2"/>
      <c r="Q55" s="2"/>
      <c r="R55">
        <f t="shared" si="18"/>
        <v>2000</v>
      </c>
      <c r="S55" s="2">
        <f t="shared" si="19"/>
        <v>182762.91854554135</v>
      </c>
      <c r="T55" s="2"/>
      <c r="U55" s="2"/>
      <c r="V55" s="2"/>
      <c r="W55" s="2"/>
      <c r="X55" s="2"/>
      <c r="Y55" s="2">
        <f t="shared" si="20"/>
        <v>149900.84329244678</v>
      </c>
      <c r="Z55" s="2">
        <f t="shared" si="21"/>
        <v>332663.76183798816</v>
      </c>
      <c r="AA55" s="2">
        <f t="shared" si="22"/>
        <v>-10354.546174471499</v>
      </c>
      <c r="AB55" s="83">
        <f t="shared" si="23"/>
        <v>-3.0186570024406351E-2</v>
      </c>
      <c r="AC55" s="7">
        <f t="shared" si="24"/>
        <v>0.96981342997559361</v>
      </c>
      <c r="AD55" s="2">
        <f t="shared" si="25"/>
        <v>0</v>
      </c>
      <c r="AE55" s="2"/>
      <c r="AG55">
        <f t="shared" si="26"/>
        <v>2000</v>
      </c>
      <c r="AH55" s="6">
        <f t="shared" si="5"/>
        <v>0.5493923279643228</v>
      </c>
      <c r="AI55" s="7"/>
      <c r="AJ55" s="6">
        <f t="shared" si="42"/>
        <v>0</v>
      </c>
      <c r="AK55" s="6">
        <f t="shared" si="42"/>
        <v>0</v>
      </c>
      <c r="AL55" s="7"/>
      <c r="AM55" s="6">
        <f t="shared" si="27"/>
        <v>0</v>
      </c>
      <c r="AN55" s="6">
        <f t="shared" si="28"/>
        <v>0.45060767203567714</v>
      </c>
      <c r="AO55" s="6">
        <f t="shared" si="29"/>
        <v>1</v>
      </c>
      <c r="AP55" s="7">
        <f t="shared" si="30"/>
        <v>0.5493923279643228</v>
      </c>
      <c r="AQ55" s="7">
        <f t="shared" si="31"/>
        <v>0</v>
      </c>
      <c r="AR55" s="24"/>
      <c r="AS55">
        <f t="shared" si="32"/>
        <v>2000</v>
      </c>
      <c r="AT55" s="1" t="b">
        <f t="shared" si="33"/>
        <v>0</v>
      </c>
      <c r="AU55" s="1"/>
      <c r="AV55" s="1" t="b">
        <f t="shared" ref="AV55:AV71" si="44">AND((U55/$Z55)&gt;0.15,(U55/$Z55)&lt;0.25)</f>
        <v>0</v>
      </c>
      <c r="AW55" s="1" t="b">
        <f t="shared" ref="AW55:AW71" si="45">AND((V55/$Z55)&gt;0.05,(V55/$Z55)&lt;0.15)</f>
        <v>0</v>
      </c>
      <c r="AX55" s="1"/>
      <c r="AY55" s="1" t="b">
        <f t="shared" si="41"/>
        <v>0</v>
      </c>
      <c r="AZ55" s="1" t="b">
        <f t="shared" si="35"/>
        <v>0</v>
      </c>
      <c r="BA55" s="1" t="b">
        <f t="shared" si="36"/>
        <v>1</v>
      </c>
      <c r="BC55">
        <f t="shared" si="37"/>
        <v>2000</v>
      </c>
      <c r="BD55" s="2">
        <f>$BK55*BD$42</f>
        <v>199598.25710279288</v>
      </c>
      <c r="BE55" s="2"/>
      <c r="BF55" s="2">
        <f t="shared" si="43"/>
        <v>0</v>
      </c>
      <c r="BG55" s="2">
        <f t="shared" si="43"/>
        <v>0</v>
      </c>
      <c r="BH55" s="2"/>
      <c r="BI55" s="2">
        <f>$BK55*BI$42</f>
        <v>0</v>
      </c>
      <c r="BJ55" s="2">
        <f t="shared" si="10"/>
        <v>133065.50473519528</v>
      </c>
      <c r="BK55" s="2">
        <f t="shared" si="38"/>
        <v>332663.76183798816</v>
      </c>
      <c r="BL55" s="2">
        <f t="shared" si="39"/>
        <v>0</v>
      </c>
      <c r="BM55" s="2"/>
    </row>
    <row r="56" spans="1:65" x14ac:dyDescent="0.2">
      <c r="A56">
        <f t="shared" si="6"/>
        <v>2001</v>
      </c>
      <c r="B56" s="2">
        <f t="shared" si="11"/>
        <v>175606.54659903719</v>
      </c>
      <c r="C56" s="2"/>
      <c r="D56" s="2"/>
      <c r="E56" s="2"/>
      <c r="F56" s="2"/>
      <c r="G56" s="2"/>
      <c r="H56" s="2">
        <f t="shared" si="12"/>
        <v>144282.92678437225</v>
      </c>
      <c r="I56" s="2">
        <f t="shared" si="40"/>
        <v>319889.47338340944</v>
      </c>
      <c r="J56" s="2">
        <f t="shared" si="13"/>
        <v>-20110.273518540605</v>
      </c>
      <c r="K56" s="83">
        <f t="shared" si="14"/>
        <v>-5.914790731988414E-2</v>
      </c>
      <c r="L56" s="7">
        <f t="shared" si="15"/>
        <v>0.94085209268011583</v>
      </c>
      <c r="N56">
        <f t="shared" si="16"/>
        <v>2001</v>
      </c>
      <c r="O56" s="2">
        <f t="shared" si="17"/>
        <v>7453.360824985316</v>
      </c>
      <c r="P56" s="2"/>
      <c r="Q56" s="2"/>
      <c r="R56">
        <f t="shared" si="18"/>
        <v>2001</v>
      </c>
      <c r="S56" s="2">
        <f t="shared" si="19"/>
        <v>171134.53010404599</v>
      </c>
      <c r="T56" s="2"/>
      <c r="U56" s="2"/>
      <c r="V56" s="2"/>
      <c r="W56" s="2"/>
      <c r="X56" s="2"/>
      <c r="Y56" s="2">
        <f t="shared" si="20"/>
        <v>141301.58245437813</v>
      </c>
      <c r="Z56" s="2">
        <f t="shared" si="21"/>
        <v>312436.11255842412</v>
      </c>
      <c r="AA56" s="2">
        <f t="shared" si="22"/>
        <v>-20227.649279564037</v>
      </c>
      <c r="AB56" s="83">
        <f t="shared" si="23"/>
        <v>-6.0805087899580661E-2</v>
      </c>
      <c r="AC56" s="7">
        <f t="shared" si="24"/>
        <v>0.93919491210041939</v>
      </c>
      <c r="AD56" s="2">
        <f t="shared" si="25"/>
        <v>0</v>
      </c>
      <c r="AE56" s="2"/>
      <c r="AG56">
        <f t="shared" si="26"/>
        <v>2001</v>
      </c>
      <c r="AH56" s="6">
        <f t="shared" si="5"/>
        <v>0.54774247670247977</v>
      </c>
      <c r="AI56" s="7"/>
      <c r="AJ56" s="6">
        <f t="shared" si="42"/>
        <v>0</v>
      </c>
      <c r="AK56" s="6">
        <f t="shared" si="42"/>
        <v>0</v>
      </c>
      <c r="AL56" s="7"/>
      <c r="AM56" s="6">
        <f t="shared" si="27"/>
        <v>0</v>
      </c>
      <c r="AN56" s="59">
        <f t="shared" si="28"/>
        <v>0.45225752329752017</v>
      </c>
      <c r="AO56" s="6">
        <f t="shared" si="29"/>
        <v>1</v>
      </c>
      <c r="AP56" s="7">
        <f t="shared" si="30"/>
        <v>0.54774247670247977</v>
      </c>
      <c r="AQ56" s="7">
        <f t="shared" si="31"/>
        <v>0</v>
      </c>
      <c r="AR56" s="24"/>
      <c r="AS56">
        <f t="shared" si="32"/>
        <v>2001</v>
      </c>
      <c r="AT56" s="1" t="b">
        <f t="shared" si="33"/>
        <v>0</v>
      </c>
      <c r="AU56" s="1"/>
      <c r="AV56" s="1" t="b">
        <f t="shared" si="44"/>
        <v>0</v>
      </c>
      <c r="AW56" s="1" t="b">
        <f t="shared" si="45"/>
        <v>0</v>
      </c>
      <c r="AX56" s="1"/>
      <c r="AY56" s="1" t="b">
        <f t="shared" si="41"/>
        <v>0</v>
      </c>
      <c r="AZ56" s="1" t="b">
        <f t="shared" si="35"/>
        <v>0</v>
      </c>
      <c r="BA56" s="1" t="b">
        <f t="shared" si="36"/>
        <v>1</v>
      </c>
      <c r="BC56">
        <f t="shared" si="37"/>
        <v>2001</v>
      </c>
      <c r="BD56" s="2">
        <f t="shared" ref="BD56:BD71" si="46">$BK56*BD$42</f>
        <v>187461.66753505447</v>
      </c>
      <c r="BE56" s="2"/>
      <c r="BF56" s="2">
        <f t="shared" si="43"/>
        <v>0</v>
      </c>
      <c r="BG56" s="2">
        <f t="shared" si="43"/>
        <v>0</v>
      </c>
      <c r="BH56" s="2"/>
      <c r="BI56" s="2">
        <f t="shared" ref="BI56:BI71" si="47">$BK56*BI$42</f>
        <v>0</v>
      </c>
      <c r="BJ56" s="2">
        <f t="shared" si="10"/>
        <v>124974.44502336966</v>
      </c>
      <c r="BK56" s="2">
        <f t="shared" si="38"/>
        <v>312436.11255842412</v>
      </c>
      <c r="BL56" s="2">
        <f t="shared" si="39"/>
        <v>0</v>
      </c>
      <c r="BM56" s="2"/>
    </row>
    <row r="57" spans="1:65" x14ac:dyDescent="0.2">
      <c r="A57">
        <f t="shared" si="6"/>
        <v>2002</v>
      </c>
      <c r="B57" s="2">
        <f t="shared" si="11"/>
        <v>145938.9081760399</v>
      </c>
      <c r="C57" s="2"/>
      <c r="D57" s="2"/>
      <c r="E57" s="2"/>
      <c r="F57" s="2"/>
      <c r="G57" s="2"/>
      <c r="H57" s="2">
        <f t="shared" si="12"/>
        <v>135297.33418229999</v>
      </c>
      <c r="I57" s="2">
        <f t="shared" si="40"/>
        <v>281236.24235833989</v>
      </c>
      <c r="J57" s="2">
        <f t="shared" si="13"/>
        <v>-38653.231025069545</v>
      </c>
      <c r="K57" s="83">
        <f t="shared" si="14"/>
        <v>-0.12083308217754637</v>
      </c>
      <c r="L57" s="7">
        <f t="shared" si="15"/>
        <v>0.8791669178224536</v>
      </c>
      <c r="N57">
        <f t="shared" si="16"/>
        <v>2002</v>
      </c>
      <c r="O57" s="2">
        <f t="shared" si="17"/>
        <v>7639.6948456099481</v>
      </c>
      <c r="P57" s="2"/>
      <c r="Q57" s="2"/>
      <c r="R57">
        <f t="shared" si="18"/>
        <v>2002</v>
      </c>
      <c r="S57" s="2">
        <f t="shared" si="19"/>
        <v>141355.09126867392</v>
      </c>
      <c r="T57" s="2"/>
      <c r="U57" s="2"/>
      <c r="V57" s="2"/>
      <c r="W57" s="2"/>
      <c r="X57" s="2"/>
      <c r="Y57" s="2">
        <f t="shared" si="20"/>
        <v>132241.45624405603</v>
      </c>
      <c r="Z57" s="2">
        <f t="shared" si="21"/>
        <v>273596.54751272994</v>
      </c>
      <c r="AA57" s="2">
        <f t="shared" si="22"/>
        <v>-38839.56504569418</v>
      </c>
      <c r="AB57" s="83">
        <f t="shared" si="23"/>
        <v>-0.12431202247285469</v>
      </c>
      <c r="AC57" s="7">
        <f t="shared" si="24"/>
        <v>0.87568797752714533</v>
      </c>
      <c r="AD57" s="2">
        <f t="shared" si="25"/>
        <v>0</v>
      </c>
      <c r="AE57" s="2"/>
      <c r="AG57">
        <f t="shared" si="26"/>
        <v>2002</v>
      </c>
      <c r="AH57" s="6">
        <f t="shared" si="5"/>
        <v>0.51665524493541692</v>
      </c>
      <c r="AI57" s="7"/>
      <c r="AJ57" s="6">
        <f t="shared" si="42"/>
        <v>0</v>
      </c>
      <c r="AK57" s="6">
        <f t="shared" si="42"/>
        <v>0</v>
      </c>
      <c r="AL57" s="7"/>
      <c r="AM57" s="38">
        <f t="shared" si="27"/>
        <v>0</v>
      </c>
      <c r="AN57" s="38">
        <f t="shared" si="28"/>
        <v>0.48334475506458308</v>
      </c>
      <c r="AO57" s="6">
        <f t="shared" si="29"/>
        <v>1</v>
      </c>
      <c r="AP57" s="7">
        <f t="shared" si="30"/>
        <v>0.51665524493541692</v>
      </c>
      <c r="AQ57" s="7">
        <f t="shared" si="31"/>
        <v>0</v>
      </c>
      <c r="AR57" s="24"/>
      <c r="AS57">
        <f t="shared" si="32"/>
        <v>2002</v>
      </c>
      <c r="AT57" s="1" t="b">
        <f t="shared" si="33"/>
        <v>0</v>
      </c>
      <c r="AU57" s="1"/>
      <c r="AV57" s="1" t="b">
        <f t="shared" si="44"/>
        <v>0</v>
      </c>
      <c r="AW57" s="1" t="b">
        <f t="shared" si="45"/>
        <v>0</v>
      </c>
      <c r="AX57" s="1"/>
      <c r="AY57" s="1" t="b">
        <f t="shared" si="41"/>
        <v>0</v>
      </c>
      <c r="AZ57" s="39" t="b">
        <f t="shared" si="35"/>
        <v>0</v>
      </c>
      <c r="BA57" s="1" t="b">
        <f t="shared" si="36"/>
        <v>1</v>
      </c>
      <c r="BC57">
        <f t="shared" si="37"/>
        <v>2002</v>
      </c>
      <c r="BD57" s="2">
        <f t="shared" si="46"/>
        <v>164157.92850763796</v>
      </c>
      <c r="BE57" s="2"/>
      <c r="BF57" s="2">
        <f t="shared" si="43"/>
        <v>0</v>
      </c>
      <c r="BG57" s="2">
        <f t="shared" si="43"/>
        <v>0</v>
      </c>
      <c r="BH57" s="2"/>
      <c r="BI57" s="2">
        <f t="shared" si="47"/>
        <v>0</v>
      </c>
      <c r="BJ57" s="2">
        <f t="shared" si="10"/>
        <v>109438.61900509198</v>
      </c>
      <c r="BK57" s="2">
        <f t="shared" si="38"/>
        <v>273596.54751272994</v>
      </c>
      <c r="BL57" s="2">
        <f t="shared" si="39"/>
        <v>0</v>
      </c>
      <c r="BM57" s="2"/>
    </row>
    <row r="58" spans="1:65" x14ac:dyDescent="0.2">
      <c r="A58">
        <f t="shared" si="6"/>
        <v>2003</v>
      </c>
      <c r="B58" s="2">
        <f t="shared" si="11"/>
        <v>210942.93813231477</v>
      </c>
      <c r="C58" s="2"/>
      <c r="D58" s="2"/>
      <c r="E58" s="2"/>
      <c r="F58" s="2"/>
      <c r="G58" s="2"/>
      <c r="H58" s="2">
        <f t="shared" si="12"/>
        <v>113783.33217959414</v>
      </c>
      <c r="I58" s="2">
        <f t="shared" si="40"/>
        <v>324726.27031190891</v>
      </c>
      <c r="J58" s="2">
        <f t="shared" si="13"/>
        <v>43490.027953569021</v>
      </c>
      <c r="K58" s="83">
        <f t="shared" si="14"/>
        <v>0.15463877482104807</v>
      </c>
      <c r="L58" s="7">
        <f t="shared" si="15"/>
        <v>1.154638774821048</v>
      </c>
      <c r="N58">
        <f t="shared" si="16"/>
        <v>2003</v>
      </c>
      <c r="O58" s="2">
        <f t="shared" si="17"/>
        <v>7792.4887425221468</v>
      </c>
      <c r="P58" s="2"/>
      <c r="Q58" s="2"/>
      <c r="R58">
        <f t="shared" si="18"/>
        <v>2003</v>
      </c>
      <c r="S58" s="2">
        <f t="shared" si="19"/>
        <v>206267.44488680147</v>
      </c>
      <c r="T58" s="2"/>
      <c r="U58" s="2"/>
      <c r="V58" s="2"/>
      <c r="W58" s="2"/>
      <c r="X58" s="2"/>
      <c r="Y58" s="2">
        <f t="shared" si="20"/>
        <v>110666.33668258529</v>
      </c>
      <c r="Z58" s="2">
        <f t="shared" si="21"/>
        <v>316933.78156938677</v>
      </c>
      <c r="AA58" s="2">
        <f t="shared" si="22"/>
        <v>43337.234056656831</v>
      </c>
      <c r="AB58" s="83">
        <f t="shared" si="23"/>
        <v>0.15839832209374072</v>
      </c>
      <c r="AC58" s="7">
        <f t="shared" si="24"/>
        <v>1.1583983220937406</v>
      </c>
      <c r="AD58" s="2">
        <f t="shared" si="25"/>
        <v>0</v>
      </c>
      <c r="AE58" s="2"/>
      <c r="AG58">
        <f t="shared" si="26"/>
        <v>2003</v>
      </c>
      <c r="AH58" s="6">
        <f t="shared" ref="AH58:AH71" si="48">S58/$Z58</f>
        <v>0.65082189681835179</v>
      </c>
      <c r="AI58" s="7"/>
      <c r="AJ58" s="6">
        <f t="shared" si="42"/>
        <v>0</v>
      </c>
      <c r="AK58" s="6">
        <f t="shared" si="42"/>
        <v>0</v>
      </c>
      <c r="AL58" s="7"/>
      <c r="AM58" s="6">
        <f t="shared" si="27"/>
        <v>0</v>
      </c>
      <c r="AN58" s="38">
        <f t="shared" si="28"/>
        <v>0.34917810318164821</v>
      </c>
      <c r="AO58" s="6">
        <f t="shared" si="29"/>
        <v>1</v>
      </c>
      <c r="AP58" s="7">
        <f t="shared" si="30"/>
        <v>0.65082189681835179</v>
      </c>
      <c r="AQ58" s="7">
        <f t="shared" si="31"/>
        <v>0</v>
      </c>
      <c r="AR58" s="24"/>
      <c r="AS58">
        <f t="shared" si="32"/>
        <v>2003</v>
      </c>
      <c r="AT58" s="1" t="b">
        <f t="shared" si="33"/>
        <v>0</v>
      </c>
      <c r="AV58" s="1" t="b">
        <f t="shared" si="44"/>
        <v>0</v>
      </c>
      <c r="AW58" s="1" t="b">
        <f t="shared" si="45"/>
        <v>0</v>
      </c>
      <c r="AY58" s="1" t="b">
        <f t="shared" si="41"/>
        <v>0</v>
      </c>
      <c r="AZ58" s="39" t="b">
        <f t="shared" si="35"/>
        <v>1</v>
      </c>
      <c r="BA58" s="1" t="b">
        <f t="shared" si="36"/>
        <v>1</v>
      </c>
      <c r="BC58">
        <f t="shared" si="37"/>
        <v>2003</v>
      </c>
      <c r="BD58" s="2">
        <f t="shared" si="46"/>
        <v>190160.26894163206</v>
      </c>
      <c r="BE58" s="2"/>
      <c r="BF58" s="2">
        <f t="shared" si="43"/>
        <v>0</v>
      </c>
      <c r="BG58" s="2">
        <f t="shared" si="43"/>
        <v>0</v>
      </c>
      <c r="BH58" s="2"/>
      <c r="BI58" s="2">
        <f t="shared" si="47"/>
        <v>0</v>
      </c>
      <c r="BJ58" s="2">
        <f t="shared" si="10"/>
        <v>126773.51262775471</v>
      </c>
      <c r="BK58" s="2">
        <f t="shared" si="38"/>
        <v>316933.78156938677</v>
      </c>
      <c r="BL58" s="2">
        <f t="shared" si="39"/>
        <v>0</v>
      </c>
      <c r="BM58" s="2"/>
    </row>
    <row r="59" spans="1:65" x14ac:dyDescent="0.2">
      <c r="A59">
        <f t="shared" si="6"/>
        <v>2004</v>
      </c>
      <c r="B59" s="2">
        <f t="shared" si="11"/>
        <v>210583.48182596333</v>
      </c>
      <c r="C59" s="2"/>
      <c r="D59" s="2"/>
      <c r="E59" s="2"/>
      <c r="F59" s="2"/>
      <c r="G59" s="2"/>
      <c r="H59" s="2">
        <f t="shared" si="12"/>
        <v>132148.70956317152</v>
      </c>
      <c r="I59" s="2">
        <f t="shared" si="40"/>
        <v>342732.19138913485</v>
      </c>
      <c r="J59" s="2">
        <f>I59-I58</f>
        <v>18005.921077225939</v>
      </c>
      <c r="K59" s="83">
        <f>(J59/I58)</f>
        <v>5.5449536189143965E-2</v>
      </c>
      <c r="L59" s="7">
        <f t="shared" si="15"/>
        <v>1.0554495361891441</v>
      </c>
      <c r="N59">
        <f t="shared" si="16"/>
        <v>2004</v>
      </c>
      <c r="O59" s="2">
        <f t="shared" si="17"/>
        <v>8049.6408710253772</v>
      </c>
      <c r="P59" s="2"/>
      <c r="Q59" s="2"/>
      <c r="R59">
        <f t="shared" si="18"/>
        <v>2004</v>
      </c>
      <c r="S59" s="2">
        <f t="shared" si="19"/>
        <v>205753.6973033481</v>
      </c>
      <c r="T59" s="2"/>
      <c r="U59" s="2"/>
      <c r="V59" s="2"/>
      <c r="W59" s="2"/>
      <c r="X59" s="2"/>
      <c r="Y59" s="2">
        <f t="shared" si="20"/>
        <v>128928.85321476137</v>
      </c>
      <c r="Z59" s="2">
        <f t="shared" si="21"/>
        <v>334682.55051810946</v>
      </c>
      <c r="AA59" s="2">
        <f>Z59-Z58</f>
        <v>17748.768948722689</v>
      </c>
      <c r="AB59" s="83">
        <f>(AA59/Z58)</f>
        <v>5.6001505616834743E-2</v>
      </c>
      <c r="AC59" s="7">
        <f t="shared" si="24"/>
        <v>1.0560015056168348</v>
      </c>
      <c r="AD59" s="2">
        <f t="shared" si="25"/>
        <v>0</v>
      </c>
      <c r="AE59" s="2"/>
      <c r="AG59">
        <f t="shared" si="26"/>
        <v>2004</v>
      </c>
      <c r="AH59" s="6">
        <f t="shared" si="48"/>
        <v>0.61477270621019398</v>
      </c>
      <c r="AI59" s="7"/>
      <c r="AJ59" s="6">
        <f t="shared" si="42"/>
        <v>0</v>
      </c>
      <c r="AK59" s="6">
        <f t="shared" si="42"/>
        <v>0</v>
      </c>
      <c r="AL59" s="7"/>
      <c r="AM59" s="6">
        <f t="shared" si="27"/>
        <v>0</v>
      </c>
      <c r="AN59" s="6">
        <f t="shared" si="28"/>
        <v>0.38522729378980608</v>
      </c>
      <c r="AO59" s="6">
        <f t="shared" si="29"/>
        <v>1</v>
      </c>
      <c r="AP59" s="7">
        <f t="shared" si="30"/>
        <v>0.61477270621019398</v>
      </c>
      <c r="AQ59" s="7">
        <f t="shared" si="31"/>
        <v>0</v>
      </c>
      <c r="AR59" s="24"/>
      <c r="AS59">
        <f t="shared" si="32"/>
        <v>2004</v>
      </c>
      <c r="AT59" s="1" t="b">
        <f t="shared" si="33"/>
        <v>0</v>
      </c>
      <c r="AV59" s="1" t="b">
        <f t="shared" si="44"/>
        <v>0</v>
      </c>
      <c r="AW59" s="1" t="b">
        <f t="shared" si="45"/>
        <v>0</v>
      </c>
      <c r="AY59" s="1" t="b">
        <f t="shared" si="41"/>
        <v>0</v>
      </c>
      <c r="AZ59" s="1" t="b">
        <f t="shared" si="35"/>
        <v>0</v>
      </c>
      <c r="BA59" s="1" t="b">
        <f t="shared" si="36"/>
        <v>1</v>
      </c>
      <c r="BC59">
        <f t="shared" si="37"/>
        <v>2004</v>
      </c>
      <c r="BD59" s="2">
        <f t="shared" si="46"/>
        <v>200809.53031086567</v>
      </c>
      <c r="BE59" s="2"/>
      <c r="BF59" s="2">
        <f t="shared" si="43"/>
        <v>0</v>
      </c>
      <c r="BG59" s="2">
        <f t="shared" si="43"/>
        <v>0</v>
      </c>
      <c r="BH59" s="2"/>
      <c r="BI59" s="2">
        <f t="shared" si="47"/>
        <v>0</v>
      </c>
      <c r="BJ59" s="2">
        <f t="shared" si="10"/>
        <v>133873.0202072438</v>
      </c>
      <c r="BK59" s="2">
        <f t="shared" si="38"/>
        <v>334682.55051810946</v>
      </c>
      <c r="BL59" s="2">
        <f t="shared" si="39"/>
        <v>0</v>
      </c>
      <c r="BM59" s="2"/>
    </row>
    <row r="60" spans="1:65" x14ac:dyDescent="0.2">
      <c r="A60">
        <f t="shared" si="6"/>
        <v>2005</v>
      </c>
      <c r="B60" s="2">
        <f t="shared" si="11"/>
        <v>210388.14490669398</v>
      </c>
      <c r="C60" s="2"/>
      <c r="D60" s="2"/>
      <c r="E60" s="2"/>
      <c r="F60" s="2"/>
      <c r="G60" s="2"/>
      <c r="H60" s="2">
        <f t="shared" si="12"/>
        <v>137085.97269221765</v>
      </c>
      <c r="I60" s="2">
        <f t="shared" si="40"/>
        <v>347474.11759891163</v>
      </c>
      <c r="J60" s="2">
        <f t="shared" si="13"/>
        <v>4741.9262097767787</v>
      </c>
      <c r="K60" s="83">
        <f t="shared" si="14"/>
        <v>1.383566040457764E-2</v>
      </c>
      <c r="L60" s="7">
        <f t="shared" si="15"/>
        <v>1.0138356604045777</v>
      </c>
      <c r="N60">
        <f t="shared" si="16"/>
        <v>2005</v>
      </c>
      <c r="O60" s="2">
        <f t="shared" si="17"/>
        <v>8315.2790197692138</v>
      </c>
      <c r="P60" s="2"/>
      <c r="Q60" s="2"/>
      <c r="R60">
        <f t="shared" si="18"/>
        <v>2005</v>
      </c>
      <c r="S60" s="2">
        <f t="shared" si="19"/>
        <v>205398.97749483245</v>
      </c>
      <c r="T60" s="2"/>
      <c r="U60" s="2"/>
      <c r="V60" s="2"/>
      <c r="W60" s="2"/>
      <c r="X60" s="2"/>
      <c r="Y60" s="2">
        <f t="shared" si="20"/>
        <v>133759.86108430996</v>
      </c>
      <c r="Z60" s="2">
        <f t="shared" si="21"/>
        <v>339158.83857914241</v>
      </c>
      <c r="AA60" s="2">
        <f t="shared" ref="AA60:AA71" si="49">Z60-Z59</f>
        <v>4476.2880610329448</v>
      </c>
      <c r="AB60" s="83">
        <f t="shared" ref="AB60:AB71" si="50">(AA60/Z59)</f>
        <v>1.337472794474457E-2</v>
      </c>
      <c r="AC60" s="7">
        <f t="shared" si="24"/>
        <v>1.0133747279447445</v>
      </c>
      <c r="AD60" s="2">
        <f t="shared" si="25"/>
        <v>0</v>
      </c>
      <c r="AE60" s="2"/>
      <c r="AG60">
        <f t="shared" si="26"/>
        <v>2005</v>
      </c>
      <c r="AH60" s="6">
        <f t="shared" si="48"/>
        <v>0.6056129286069093</v>
      </c>
      <c r="AI60" s="7"/>
      <c r="AJ60" s="6">
        <f t="shared" si="42"/>
        <v>0</v>
      </c>
      <c r="AK60" s="6">
        <f t="shared" si="42"/>
        <v>0</v>
      </c>
      <c r="AL60" s="7"/>
      <c r="AM60" s="6">
        <f t="shared" ref="AM60:AM71" si="51">X60/$Z60</f>
        <v>0</v>
      </c>
      <c r="AN60" s="6">
        <f t="shared" si="28"/>
        <v>0.3943870713930907</v>
      </c>
      <c r="AO60" s="6">
        <f t="shared" si="29"/>
        <v>1</v>
      </c>
      <c r="AP60" s="7">
        <f t="shared" si="30"/>
        <v>0.6056129286069093</v>
      </c>
      <c r="AQ60" s="7">
        <f t="shared" si="31"/>
        <v>0</v>
      </c>
      <c r="AR60" s="24"/>
      <c r="AS60">
        <f t="shared" si="32"/>
        <v>2005</v>
      </c>
      <c r="AT60" s="1" t="b">
        <f t="shared" si="33"/>
        <v>0</v>
      </c>
      <c r="AV60" s="1" t="b">
        <f t="shared" si="44"/>
        <v>0</v>
      </c>
      <c r="AW60" s="1" t="b">
        <f t="shared" si="45"/>
        <v>0</v>
      </c>
      <c r="AY60" s="1" t="b">
        <f t="shared" si="41"/>
        <v>0</v>
      </c>
      <c r="AZ60" s="1" t="b">
        <f t="shared" si="35"/>
        <v>0</v>
      </c>
      <c r="BA60" s="1" t="b">
        <f t="shared" si="36"/>
        <v>1</v>
      </c>
      <c r="BC60">
        <f t="shared" si="37"/>
        <v>2005</v>
      </c>
      <c r="BD60" s="2">
        <f t="shared" si="46"/>
        <v>203495.30314748545</v>
      </c>
      <c r="BE60" s="2"/>
      <c r="BF60" s="2">
        <f t="shared" si="43"/>
        <v>0</v>
      </c>
      <c r="BG60" s="2">
        <f t="shared" si="43"/>
        <v>0</v>
      </c>
      <c r="BH60" s="2"/>
      <c r="BI60" s="2">
        <f t="shared" si="47"/>
        <v>0</v>
      </c>
      <c r="BJ60" s="2">
        <f t="shared" si="10"/>
        <v>135663.53543165696</v>
      </c>
      <c r="BK60" s="2">
        <f t="shared" si="38"/>
        <v>339158.83857914241</v>
      </c>
      <c r="BL60" s="2">
        <f t="shared" si="39"/>
        <v>0</v>
      </c>
      <c r="BM60" s="2"/>
    </row>
    <row r="61" spans="1:65" x14ac:dyDescent="0.2">
      <c r="A61">
        <f t="shared" si="6"/>
        <v>2006</v>
      </c>
      <c r="B61" s="2">
        <f t="shared" si="11"/>
        <v>235321.96855975219</v>
      </c>
      <c r="C61" s="2"/>
      <c r="D61" s="2"/>
      <c r="E61" s="2"/>
      <c r="F61" s="2"/>
      <c r="G61" s="2"/>
      <c r="H61" s="2">
        <f t="shared" si="12"/>
        <v>141456.3683945887</v>
      </c>
      <c r="I61" s="2">
        <f t="shared" si="40"/>
        <v>376778.33695434092</v>
      </c>
      <c r="J61" s="2">
        <f t="shared" si="13"/>
        <v>29304.21935542929</v>
      </c>
      <c r="K61" s="83">
        <f t="shared" si="14"/>
        <v>8.4334970207061766E-2</v>
      </c>
      <c r="L61" s="7">
        <f t="shared" si="15"/>
        <v>1.0843349702070617</v>
      </c>
      <c r="N61">
        <f t="shared" si="16"/>
        <v>2006</v>
      </c>
      <c r="O61" s="2">
        <f t="shared" si="17"/>
        <v>8523.1609952634426</v>
      </c>
      <c r="P61" s="2"/>
      <c r="Q61" s="2"/>
      <c r="R61">
        <f t="shared" si="18"/>
        <v>2006</v>
      </c>
      <c r="S61" s="2">
        <f t="shared" si="19"/>
        <v>230208.07196259411</v>
      </c>
      <c r="T61" s="2"/>
      <c r="U61" s="2"/>
      <c r="V61" s="2"/>
      <c r="W61" s="2"/>
      <c r="X61" s="2"/>
      <c r="Y61" s="2">
        <f t="shared" si="20"/>
        <v>138047.10399648332</v>
      </c>
      <c r="Z61" s="2">
        <f t="shared" si="21"/>
        <v>368255.17595907743</v>
      </c>
      <c r="AA61" s="2">
        <f t="shared" si="49"/>
        <v>29096.337379935023</v>
      </c>
      <c r="AB61" s="83">
        <f t="shared" si="50"/>
        <v>8.5789706975734376E-2</v>
      </c>
      <c r="AC61" s="7">
        <f t="shared" si="24"/>
        <v>1.0857897069757343</v>
      </c>
      <c r="AD61" s="2">
        <f t="shared" si="25"/>
        <v>0</v>
      </c>
      <c r="AE61" s="2"/>
      <c r="AG61">
        <f t="shared" si="26"/>
        <v>2006</v>
      </c>
      <c r="AH61" s="6">
        <f t="shared" si="48"/>
        <v>0.62513193837138659</v>
      </c>
      <c r="AI61" s="7"/>
      <c r="AJ61" s="6">
        <f t="shared" si="42"/>
        <v>0</v>
      </c>
      <c r="AK61" s="6">
        <f t="shared" si="42"/>
        <v>0</v>
      </c>
      <c r="AL61" s="7"/>
      <c r="AM61" s="38">
        <f t="shared" si="51"/>
        <v>0</v>
      </c>
      <c r="AN61" s="38">
        <f t="shared" si="28"/>
        <v>0.37486806162861341</v>
      </c>
      <c r="AO61" s="6">
        <f t="shared" si="29"/>
        <v>1</v>
      </c>
      <c r="AP61" s="7">
        <f t="shared" si="30"/>
        <v>0.62513193837138659</v>
      </c>
      <c r="AQ61" s="7">
        <f t="shared" si="31"/>
        <v>0</v>
      </c>
      <c r="AR61" s="24"/>
      <c r="AS61">
        <f t="shared" si="32"/>
        <v>2006</v>
      </c>
      <c r="AT61" s="1" t="b">
        <f t="shared" si="33"/>
        <v>0</v>
      </c>
      <c r="AV61" s="1" t="b">
        <f t="shared" si="44"/>
        <v>0</v>
      </c>
      <c r="AW61" s="1" t="b">
        <f t="shared" si="45"/>
        <v>0</v>
      </c>
      <c r="AY61" s="1" t="b">
        <f t="shared" si="41"/>
        <v>0</v>
      </c>
      <c r="AZ61" s="1" t="b">
        <f t="shared" si="35"/>
        <v>0</v>
      </c>
      <c r="BA61" s="1" t="b">
        <f t="shared" si="36"/>
        <v>1</v>
      </c>
      <c r="BC61">
        <f t="shared" si="37"/>
        <v>2006</v>
      </c>
      <c r="BD61" s="2">
        <f t="shared" si="46"/>
        <v>220953.10557544645</v>
      </c>
      <c r="BE61" s="2"/>
      <c r="BF61" s="2">
        <f t="shared" si="43"/>
        <v>0</v>
      </c>
      <c r="BG61" s="2">
        <f t="shared" si="43"/>
        <v>0</v>
      </c>
      <c r="BH61" s="2"/>
      <c r="BI61" s="2">
        <f t="shared" si="47"/>
        <v>0</v>
      </c>
      <c r="BJ61" s="2">
        <f t="shared" si="10"/>
        <v>147302.07038363098</v>
      </c>
      <c r="BK61" s="2">
        <f t="shared" si="38"/>
        <v>368255.17595907743</v>
      </c>
      <c r="BL61" s="2">
        <f t="shared" si="39"/>
        <v>0</v>
      </c>
      <c r="BM61" s="2"/>
    </row>
    <row r="62" spans="1:65" x14ac:dyDescent="0.2">
      <c r="A62">
        <f t="shared" si="6"/>
        <v>2007</v>
      </c>
      <c r="B62" s="2">
        <f t="shared" si="11"/>
        <v>232862.47796596301</v>
      </c>
      <c r="C62" s="2"/>
      <c r="D62" s="2"/>
      <c r="E62" s="2"/>
      <c r="F62" s="2"/>
      <c r="G62" s="2"/>
      <c r="H62" s="2">
        <f t="shared" si="12"/>
        <v>157495.37365417823</v>
      </c>
      <c r="I62" s="2">
        <f t="shared" si="40"/>
        <v>390357.85162014124</v>
      </c>
      <c r="J62" s="2">
        <f t="shared" si="13"/>
        <v>13579.514665800321</v>
      </c>
      <c r="K62" s="83">
        <f t="shared" si="14"/>
        <v>3.6041123742859789E-2</v>
      </c>
      <c r="L62" s="7">
        <f t="shared" si="15"/>
        <v>1.0360411237428597</v>
      </c>
      <c r="N62">
        <f t="shared" si="16"/>
        <v>2007</v>
      </c>
      <c r="O62" s="2">
        <f t="shared" si="17"/>
        <v>8872.6105960692439</v>
      </c>
      <c r="P62" s="2"/>
      <c r="Q62" s="2"/>
      <c r="R62">
        <f t="shared" si="18"/>
        <v>2007</v>
      </c>
      <c r="S62" s="2">
        <f t="shared" si="19"/>
        <v>227538.91160832148</v>
      </c>
      <c r="T62" s="2"/>
      <c r="U62" s="2"/>
      <c r="V62" s="2"/>
      <c r="W62" s="2"/>
      <c r="X62" s="2"/>
      <c r="Y62" s="2">
        <f t="shared" si="20"/>
        <v>153946.32941575052</v>
      </c>
      <c r="Z62" s="2">
        <f t="shared" si="21"/>
        <v>381485.24102407199</v>
      </c>
      <c r="AA62" s="2">
        <f t="shared" si="49"/>
        <v>13230.06506499456</v>
      </c>
      <c r="AB62" s="83">
        <f t="shared" si="50"/>
        <v>3.5926351966509111E-2</v>
      </c>
      <c r="AC62" s="7">
        <f t="shared" si="24"/>
        <v>1.0359263519665092</v>
      </c>
      <c r="AD62" s="2">
        <f t="shared" si="25"/>
        <v>0</v>
      </c>
      <c r="AE62" s="2"/>
      <c r="AG62">
        <f t="shared" si="26"/>
        <v>2007</v>
      </c>
      <c r="AH62" s="6">
        <f t="shared" si="48"/>
        <v>0.59645534647030707</v>
      </c>
      <c r="AI62" s="7"/>
      <c r="AJ62" s="6">
        <f t="shared" si="42"/>
        <v>0</v>
      </c>
      <c r="AK62" s="6">
        <f t="shared" si="42"/>
        <v>0</v>
      </c>
      <c r="AL62" s="7"/>
      <c r="AM62" s="6">
        <f t="shared" si="51"/>
        <v>0</v>
      </c>
      <c r="AN62" s="6">
        <f t="shared" si="28"/>
        <v>0.40354465352969288</v>
      </c>
      <c r="AO62" s="6">
        <f t="shared" si="29"/>
        <v>1</v>
      </c>
      <c r="AP62" s="7">
        <f t="shared" si="30"/>
        <v>0.59645534647030707</v>
      </c>
      <c r="AQ62" s="7">
        <f t="shared" si="31"/>
        <v>0</v>
      </c>
      <c r="AR62" s="24"/>
      <c r="AS62">
        <f t="shared" si="32"/>
        <v>2007</v>
      </c>
      <c r="AT62" s="1" t="b">
        <f t="shared" si="33"/>
        <v>0</v>
      </c>
      <c r="AV62" s="1" t="b">
        <f t="shared" si="44"/>
        <v>0</v>
      </c>
      <c r="AW62" s="1" t="b">
        <f t="shared" si="45"/>
        <v>0</v>
      </c>
      <c r="AY62" s="1" t="b">
        <f t="shared" si="41"/>
        <v>0</v>
      </c>
      <c r="AZ62" s="1" t="b">
        <f t="shared" si="35"/>
        <v>0</v>
      </c>
      <c r="BA62" s="1" t="b">
        <f t="shared" si="36"/>
        <v>1</v>
      </c>
      <c r="BC62">
        <f t="shared" si="37"/>
        <v>2007</v>
      </c>
      <c r="BD62" s="2">
        <f t="shared" si="46"/>
        <v>228891.14461444318</v>
      </c>
      <c r="BE62" s="2"/>
      <c r="BF62" s="2">
        <f t="shared" si="43"/>
        <v>0</v>
      </c>
      <c r="BG62" s="2">
        <f t="shared" si="43"/>
        <v>0</v>
      </c>
      <c r="BH62" s="2"/>
      <c r="BI62" s="2">
        <f t="shared" si="47"/>
        <v>0</v>
      </c>
      <c r="BJ62" s="2">
        <f t="shared" si="10"/>
        <v>152594.09640962881</v>
      </c>
      <c r="BK62" s="2">
        <f t="shared" si="38"/>
        <v>381485.24102407199</v>
      </c>
      <c r="BL62" s="2">
        <f t="shared" si="39"/>
        <v>0</v>
      </c>
      <c r="BM62" s="2"/>
    </row>
    <row r="63" spans="1:65" x14ac:dyDescent="0.2">
      <c r="A63">
        <f t="shared" si="6"/>
        <v>2008</v>
      </c>
      <c r="B63" s="2">
        <f t="shared" si="11"/>
        <v>144155.6428781763</v>
      </c>
      <c r="C63" s="2"/>
      <c r="D63" s="2"/>
      <c r="E63" s="2"/>
      <c r="F63" s="2"/>
      <c r="G63" s="2"/>
      <c r="H63" s="2">
        <f t="shared" si="12"/>
        <v>160300.09827831507</v>
      </c>
      <c r="I63" s="2">
        <f t="shared" si="40"/>
        <v>304455.74115649133</v>
      </c>
      <c r="J63" s="2">
        <f t="shared" si="13"/>
        <v>-85902.110463649908</v>
      </c>
      <c r="K63" s="83">
        <f t="shared" si="14"/>
        <v>-0.22005990172125856</v>
      </c>
      <c r="L63" s="7">
        <f t="shared" si="15"/>
        <v>0.77994009827874144</v>
      </c>
      <c r="N63">
        <f t="shared" si="16"/>
        <v>2008</v>
      </c>
      <c r="O63" s="2">
        <f t="shared" si="17"/>
        <v>8872.6105960692439</v>
      </c>
      <c r="P63" s="2"/>
      <c r="Q63" s="2"/>
      <c r="R63">
        <f t="shared" si="18"/>
        <v>2008</v>
      </c>
      <c r="S63" s="2">
        <f t="shared" si="19"/>
        <v>138832.07652053476</v>
      </c>
      <c r="T63" s="2"/>
      <c r="U63" s="2"/>
      <c r="V63" s="2"/>
      <c r="W63" s="2"/>
      <c r="X63" s="2"/>
      <c r="Y63" s="2">
        <f t="shared" si="20"/>
        <v>156751.05403988739</v>
      </c>
      <c r="Z63" s="2">
        <f t="shared" si="21"/>
        <v>295583.13056042214</v>
      </c>
      <c r="AA63" s="2">
        <f t="shared" si="49"/>
        <v>-85902.110463649849</v>
      </c>
      <c r="AB63" s="83">
        <f t="shared" si="50"/>
        <v>-0.22517807040988347</v>
      </c>
      <c r="AC63" s="7">
        <f t="shared" si="24"/>
        <v>0.77482192959011653</v>
      </c>
      <c r="AD63" s="2">
        <f t="shared" si="25"/>
        <v>0</v>
      </c>
      <c r="AE63" s="2"/>
      <c r="AG63">
        <f t="shared" si="26"/>
        <v>2008</v>
      </c>
      <c r="AH63" s="6">
        <f t="shared" si="48"/>
        <v>0.46968876829104139</v>
      </c>
      <c r="AI63" s="7"/>
      <c r="AJ63" s="6">
        <f t="shared" si="42"/>
        <v>0</v>
      </c>
      <c r="AK63" s="6">
        <f t="shared" si="42"/>
        <v>0</v>
      </c>
      <c r="AL63" s="7"/>
      <c r="AM63" s="6">
        <f t="shared" si="51"/>
        <v>0</v>
      </c>
      <c r="AN63" s="38">
        <f t="shared" si="28"/>
        <v>0.53031123170895855</v>
      </c>
      <c r="AO63" s="6">
        <f t="shared" si="29"/>
        <v>1</v>
      </c>
      <c r="AP63" s="7">
        <f t="shared" si="30"/>
        <v>0.46968876829104139</v>
      </c>
      <c r="AQ63" s="7">
        <f t="shared" si="31"/>
        <v>0</v>
      </c>
      <c r="AR63" s="24"/>
      <c r="AS63">
        <f t="shared" si="32"/>
        <v>2008</v>
      </c>
      <c r="AT63" s="1" t="b">
        <f t="shared" si="33"/>
        <v>0</v>
      </c>
      <c r="AV63" s="1" t="b">
        <f t="shared" si="44"/>
        <v>0</v>
      </c>
      <c r="AW63" s="1" t="b">
        <f t="shared" si="45"/>
        <v>0</v>
      </c>
      <c r="AY63" s="1" t="b">
        <f t="shared" si="41"/>
        <v>0</v>
      </c>
      <c r="AZ63" s="39" t="b">
        <f t="shared" si="35"/>
        <v>0</v>
      </c>
      <c r="BA63" s="1" t="b">
        <f t="shared" si="36"/>
        <v>1</v>
      </c>
      <c r="BC63">
        <f t="shared" si="37"/>
        <v>2008</v>
      </c>
      <c r="BD63" s="2">
        <f t="shared" si="46"/>
        <v>177349.87833625328</v>
      </c>
      <c r="BE63" s="2"/>
      <c r="BF63" s="2">
        <f t="shared" si="43"/>
        <v>0</v>
      </c>
      <c r="BG63" s="2">
        <f t="shared" si="43"/>
        <v>0</v>
      </c>
      <c r="BH63" s="2"/>
      <c r="BI63" s="2">
        <f t="shared" si="47"/>
        <v>0</v>
      </c>
      <c r="BJ63" s="2">
        <f t="shared" si="10"/>
        <v>118233.25222416886</v>
      </c>
      <c r="BK63" s="2">
        <f t="shared" si="38"/>
        <v>295583.13056042214</v>
      </c>
      <c r="BL63" s="2">
        <f t="shared" si="39"/>
        <v>0</v>
      </c>
      <c r="BM63" s="2"/>
    </row>
    <row r="64" spans="1:65" x14ac:dyDescent="0.2">
      <c r="A64">
        <f t="shared" si="6"/>
        <v>2009</v>
      </c>
      <c r="B64" s="2">
        <f t="shared" si="11"/>
        <v>224329.86110752675</v>
      </c>
      <c r="C64" s="2"/>
      <c r="D64" s="2"/>
      <c r="E64" s="2"/>
      <c r="F64" s="2"/>
      <c r="G64" s="2"/>
      <c r="H64" s="2">
        <f t="shared" si="12"/>
        <v>125244.48408106207</v>
      </c>
      <c r="I64" s="2">
        <f t="shared" si="40"/>
        <v>349574.34518858884</v>
      </c>
      <c r="J64" s="2">
        <f t="shared" si="13"/>
        <v>45118.604032097501</v>
      </c>
      <c r="K64" s="83">
        <f t="shared" si="14"/>
        <v>0.1481942953701976</v>
      </c>
      <c r="L64" s="7">
        <f t="shared" si="15"/>
        <v>1.1481942953701976</v>
      </c>
      <c r="N64">
        <f t="shared" si="16"/>
        <v>2009</v>
      </c>
      <c r="O64" s="2">
        <f t="shared" si="17"/>
        <v>9121.0436927591836</v>
      </c>
      <c r="P64" s="2"/>
      <c r="Q64" s="2"/>
      <c r="R64">
        <f t="shared" si="18"/>
        <v>2009</v>
      </c>
      <c r="S64" s="2">
        <f t="shared" si="19"/>
        <v>218857.23489187125</v>
      </c>
      <c r="T64" s="2"/>
      <c r="U64" s="2"/>
      <c r="V64" s="2"/>
      <c r="W64" s="2"/>
      <c r="X64" s="2"/>
      <c r="Y64" s="2">
        <f t="shared" si="20"/>
        <v>121596.06660395839</v>
      </c>
      <c r="Z64" s="2">
        <f t="shared" si="21"/>
        <v>340453.30149582966</v>
      </c>
      <c r="AA64" s="2">
        <f t="shared" si="49"/>
        <v>44870.170935407514</v>
      </c>
      <c r="AB64" s="83">
        <f t="shared" si="50"/>
        <v>0.15180220484956025</v>
      </c>
      <c r="AC64" s="7">
        <f t="shared" si="24"/>
        <v>1.1518022048495602</v>
      </c>
      <c r="AD64" s="2">
        <f t="shared" si="25"/>
        <v>0</v>
      </c>
      <c r="AE64" s="2"/>
      <c r="AG64">
        <f t="shared" si="26"/>
        <v>2009</v>
      </c>
      <c r="AH64" s="6">
        <f t="shared" si="48"/>
        <v>0.64284068895878255</v>
      </c>
      <c r="AI64" s="7"/>
      <c r="AJ64" s="6">
        <f t="shared" si="42"/>
        <v>0</v>
      </c>
      <c r="AK64" s="6">
        <f t="shared" si="42"/>
        <v>0</v>
      </c>
      <c r="AL64" s="7"/>
      <c r="AM64" s="6">
        <f t="shared" si="51"/>
        <v>0</v>
      </c>
      <c r="AN64" s="6">
        <f t="shared" si="28"/>
        <v>0.3571593110412174</v>
      </c>
      <c r="AO64" s="6">
        <f t="shared" si="29"/>
        <v>1</v>
      </c>
      <c r="AP64" s="7">
        <f t="shared" si="30"/>
        <v>0.64284068895878255</v>
      </c>
      <c r="AQ64" s="7">
        <f t="shared" si="31"/>
        <v>0</v>
      </c>
      <c r="AR64" s="24"/>
      <c r="AS64">
        <f t="shared" si="32"/>
        <v>2009</v>
      </c>
      <c r="AT64" s="1" t="b">
        <f t="shared" si="33"/>
        <v>0</v>
      </c>
      <c r="AV64" s="1" t="b">
        <f t="shared" si="44"/>
        <v>0</v>
      </c>
      <c r="AW64" s="1" t="b">
        <f t="shared" si="45"/>
        <v>0</v>
      </c>
      <c r="AY64" s="1" t="b">
        <f t="shared" si="41"/>
        <v>0</v>
      </c>
      <c r="AZ64" s="1" t="b">
        <f t="shared" si="35"/>
        <v>0</v>
      </c>
      <c r="BA64" s="1" t="b">
        <f t="shared" si="36"/>
        <v>1</v>
      </c>
      <c r="BC64">
        <f t="shared" si="37"/>
        <v>2009</v>
      </c>
      <c r="BD64" s="2">
        <f t="shared" si="46"/>
        <v>204271.98089749779</v>
      </c>
      <c r="BE64" s="2"/>
      <c r="BF64" s="2">
        <f t="shared" si="43"/>
        <v>0</v>
      </c>
      <c r="BG64" s="2">
        <f t="shared" si="43"/>
        <v>0</v>
      </c>
      <c r="BH64" s="2"/>
      <c r="BI64" s="2">
        <f t="shared" si="47"/>
        <v>0</v>
      </c>
      <c r="BJ64" s="2">
        <f t="shared" si="10"/>
        <v>136181.32059833186</v>
      </c>
      <c r="BK64" s="2">
        <f t="shared" si="38"/>
        <v>340453.30149582966</v>
      </c>
      <c r="BL64" s="2">
        <f t="shared" si="39"/>
        <v>0</v>
      </c>
      <c r="BM64" s="2"/>
    </row>
    <row r="65" spans="1:65" x14ac:dyDescent="0.2">
      <c r="A65">
        <f t="shared" si="6"/>
        <v>2010</v>
      </c>
      <c r="B65" s="2">
        <f t="shared" si="11"/>
        <v>234728.93324931472</v>
      </c>
      <c r="C65" s="2"/>
      <c r="D65" s="2"/>
      <c r="E65" s="2"/>
      <c r="F65" s="2"/>
      <c r="G65" s="2"/>
      <c r="H65" s="2">
        <f t="shared" si="12"/>
        <v>144924.16138074477</v>
      </c>
      <c r="I65" s="2">
        <f t="shared" si="40"/>
        <v>379653.0946300595</v>
      </c>
      <c r="J65" s="2">
        <f t="shared" si="13"/>
        <v>30078.74944147066</v>
      </c>
      <c r="K65" s="83">
        <f t="shared" si="14"/>
        <v>8.6043927008555898E-2</v>
      </c>
      <c r="L65" s="7">
        <f t="shared" si="15"/>
        <v>1.0860439270085558</v>
      </c>
      <c r="N65">
        <f t="shared" si="16"/>
        <v>2010</v>
      </c>
      <c r="O65" s="2">
        <f t="shared" si="17"/>
        <v>9248.7383044578128</v>
      </c>
      <c r="P65" s="2"/>
      <c r="Q65" s="2"/>
      <c r="R65">
        <f t="shared" si="18"/>
        <v>2010</v>
      </c>
      <c r="S65" s="2">
        <f t="shared" si="19"/>
        <v>229179.69026664004</v>
      </c>
      <c r="T65" s="2"/>
      <c r="U65" s="2"/>
      <c r="V65" s="2"/>
      <c r="W65" s="2"/>
      <c r="X65" s="2"/>
      <c r="Y65" s="2">
        <f t="shared" si="20"/>
        <v>141224.66605896165</v>
      </c>
      <c r="Z65" s="2">
        <f t="shared" si="21"/>
        <v>370404.35632560169</v>
      </c>
      <c r="AA65" s="2">
        <f t="shared" si="49"/>
        <v>29951.054829772038</v>
      </c>
      <c r="AB65" s="83">
        <f t="shared" si="50"/>
        <v>8.7974047242831394E-2</v>
      </c>
      <c r="AC65" s="7">
        <f t="shared" si="24"/>
        <v>1.0879740472428314</v>
      </c>
      <c r="AD65" s="2">
        <f t="shared" si="25"/>
        <v>0</v>
      </c>
      <c r="AE65" s="2"/>
      <c r="AG65">
        <f t="shared" si="26"/>
        <v>2010</v>
      </c>
      <c r="AH65" s="6">
        <f t="shared" si="48"/>
        <v>0.61872838791663953</v>
      </c>
      <c r="AI65" s="7"/>
      <c r="AJ65" s="6">
        <f t="shared" si="42"/>
        <v>0</v>
      </c>
      <c r="AK65" s="6">
        <f t="shared" si="42"/>
        <v>0</v>
      </c>
      <c r="AL65" s="7"/>
      <c r="AM65" s="6">
        <f t="shared" si="51"/>
        <v>0</v>
      </c>
      <c r="AN65" s="38">
        <f t="shared" si="28"/>
        <v>0.38127161208336052</v>
      </c>
      <c r="AO65" s="6">
        <f t="shared" si="29"/>
        <v>1</v>
      </c>
      <c r="AP65" s="7">
        <f t="shared" si="30"/>
        <v>0.61872838791663953</v>
      </c>
      <c r="AQ65" s="7">
        <f t="shared" si="31"/>
        <v>0</v>
      </c>
      <c r="AR65" s="24"/>
      <c r="AS65">
        <f t="shared" si="32"/>
        <v>2010</v>
      </c>
      <c r="AT65" s="1" t="b">
        <f t="shared" si="33"/>
        <v>0</v>
      </c>
      <c r="AV65" s="1" t="b">
        <f t="shared" si="44"/>
        <v>0</v>
      </c>
      <c r="AW65" s="1" t="b">
        <f t="shared" si="45"/>
        <v>0</v>
      </c>
      <c r="AY65" s="1" t="b">
        <f t="shared" si="41"/>
        <v>0</v>
      </c>
      <c r="AZ65" s="1" t="b">
        <f t="shared" si="35"/>
        <v>0</v>
      </c>
      <c r="BA65" s="1" t="b">
        <f t="shared" si="36"/>
        <v>1</v>
      </c>
      <c r="BC65">
        <f t="shared" si="37"/>
        <v>2010</v>
      </c>
      <c r="BD65" s="2">
        <f t="shared" si="46"/>
        <v>222242.61379536102</v>
      </c>
      <c r="BE65" s="2"/>
      <c r="BF65" s="2">
        <f t="shared" si="43"/>
        <v>0</v>
      </c>
      <c r="BG65" s="2">
        <f t="shared" si="43"/>
        <v>0</v>
      </c>
      <c r="BH65" s="2"/>
      <c r="BI65" s="2">
        <f t="shared" si="47"/>
        <v>0</v>
      </c>
      <c r="BJ65" s="2">
        <f t="shared" si="10"/>
        <v>148161.74253024068</v>
      </c>
      <c r="BK65" s="2">
        <f t="shared" si="38"/>
        <v>370404.35632560169</v>
      </c>
      <c r="BL65" s="2">
        <f t="shared" si="39"/>
        <v>0</v>
      </c>
      <c r="BM65" s="2"/>
    </row>
    <row r="66" spans="1:65" x14ac:dyDescent="0.2">
      <c r="A66">
        <f t="shared" si="6"/>
        <v>2011</v>
      </c>
      <c r="B66" s="2">
        <f t="shared" si="11"/>
        <v>226620.79328712964</v>
      </c>
      <c r="C66" s="2"/>
      <c r="D66" s="2"/>
      <c r="E66" s="2"/>
      <c r="F66" s="2"/>
      <c r="G66" s="2"/>
      <c r="H66" s="2">
        <f t="shared" si="12"/>
        <v>159362.77026552689</v>
      </c>
      <c r="I66" s="2">
        <f t="shared" si="40"/>
        <v>385983.56355265656</v>
      </c>
      <c r="J66" s="2">
        <f t="shared" si="13"/>
        <v>6330.4689225970651</v>
      </c>
      <c r="K66" s="83">
        <f t="shared" si="14"/>
        <v>1.6674350906491577E-2</v>
      </c>
      <c r="L66" s="7">
        <f t="shared" si="15"/>
        <v>1.0166743509064915</v>
      </c>
      <c r="N66">
        <f t="shared" si="16"/>
        <v>2011</v>
      </c>
      <c r="O66" s="2">
        <f t="shared" si="17"/>
        <v>9526.2004535915476</v>
      </c>
      <c r="P66" s="2"/>
      <c r="Q66" s="2"/>
      <c r="R66">
        <f t="shared" si="18"/>
        <v>2011</v>
      </c>
      <c r="S66" s="2">
        <f t="shared" si="19"/>
        <v>220905.07301497471</v>
      </c>
      <c r="T66" s="2"/>
      <c r="U66" s="2"/>
      <c r="V66" s="2"/>
      <c r="W66" s="2"/>
      <c r="X66" s="2"/>
      <c r="Y66" s="2">
        <f t="shared" si="20"/>
        <v>155552.29008409029</v>
      </c>
      <c r="Z66" s="2">
        <f t="shared" si="21"/>
        <v>376457.36309906503</v>
      </c>
      <c r="AA66" s="2">
        <f t="shared" si="49"/>
        <v>6053.006773463334</v>
      </c>
      <c r="AB66" s="83">
        <f t="shared" si="50"/>
        <v>1.6341618747438474E-2</v>
      </c>
      <c r="AC66" s="7">
        <f t="shared" si="24"/>
        <v>1.0163416187474386</v>
      </c>
      <c r="AD66" s="2">
        <f t="shared" si="25"/>
        <v>0</v>
      </c>
      <c r="AE66" s="2"/>
      <c r="AG66">
        <f t="shared" si="26"/>
        <v>2011</v>
      </c>
      <c r="AH66" s="6">
        <f t="shared" si="48"/>
        <v>0.58679971404050713</v>
      </c>
      <c r="AI66" s="7"/>
      <c r="AJ66" s="6">
        <f t="shared" si="42"/>
        <v>0</v>
      </c>
      <c r="AK66" s="6">
        <f t="shared" si="42"/>
        <v>0</v>
      </c>
      <c r="AL66" s="7"/>
      <c r="AM66" s="6">
        <f t="shared" si="51"/>
        <v>0</v>
      </c>
      <c r="AN66" s="6">
        <f t="shared" si="28"/>
        <v>0.41320028595949282</v>
      </c>
      <c r="AO66" s="6">
        <f t="shared" si="29"/>
        <v>1</v>
      </c>
      <c r="AP66" s="7">
        <f t="shared" si="30"/>
        <v>0.58679971404050713</v>
      </c>
      <c r="AQ66" s="7">
        <f t="shared" si="31"/>
        <v>0</v>
      </c>
      <c r="AR66" s="24"/>
      <c r="AS66">
        <f t="shared" si="32"/>
        <v>2011</v>
      </c>
      <c r="AT66" s="1" t="b">
        <f t="shared" si="33"/>
        <v>0</v>
      </c>
      <c r="AV66" s="1" t="b">
        <f t="shared" si="44"/>
        <v>0</v>
      </c>
      <c r="AW66" s="1" t="b">
        <f t="shared" si="45"/>
        <v>0</v>
      </c>
      <c r="AY66" s="1" t="b">
        <f t="shared" si="41"/>
        <v>0</v>
      </c>
      <c r="AZ66" s="1" t="b">
        <f t="shared" si="35"/>
        <v>0</v>
      </c>
      <c r="BA66" s="1" t="b">
        <f t="shared" si="36"/>
        <v>1</v>
      </c>
      <c r="BC66">
        <f t="shared" si="37"/>
        <v>2011</v>
      </c>
      <c r="BD66" s="2">
        <f t="shared" si="46"/>
        <v>225874.41785943901</v>
      </c>
      <c r="BE66" s="2"/>
      <c r="BF66" s="2">
        <f t="shared" si="43"/>
        <v>0</v>
      </c>
      <c r="BG66" s="2">
        <f t="shared" si="43"/>
        <v>0</v>
      </c>
      <c r="BH66" s="2"/>
      <c r="BI66" s="2">
        <f t="shared" si="47"/>
        <v>0</v>
      </c>
      <c r="BJ66" s="2">
        <f t="shared" si="10"/>
        <v>150582.94523962602</v>
      </c>
      <c r="BK66" s="2">
        <f t="shared" si="38"/>
        <v>376457.36309906503</v>
      </c>
      <c r="BL66" s="2">
        <f t="shared" si="39"/>
        <v>0</v>
      </c>
      <c r="BM66" s="2"/>
    </row>
    <row r="67" spans="1:65" x14ac:dyDescent="0.2">
      <c r="A67">
        <f t="shared" si="6"/>
        <v>2012</v>
      </c>
      <c r="B67" s="2">
        <f t="shared" si="11"/>
        <v>261607.75076480224</v>
      </c>
      <c r="C67" s="2"/>
      <c r="D67" s="2"/>
      <c r="E67" s="2"/>
      <c r="F67" s="2"/>
      <c r="G67" s="2"/>
      <c r="H67" s="2">
        <f t="shared" si="12"/>
        <v>156681.55452183087</v>
      </c>
      <c r="I67" s="2">
        <f t="shared" si="40"/>
        <v>418289.30528663308</v>
      </c>
      <c r="J67" s="2">
        <f t="shared" si="13"/>
        <v>32305.741733976523</v>
      </c>
      <c r="K67" s="83">
        <f t="shared" si="14"/>
        <v>8.3697195384770107E-2</v>
      </c>
      <c r="L67" s="7">
        <f t="shared" si="15"/>
        <v>1.0836971953847701</v>
      </c>
      <c r="N67">
        <f t="shared" si="16"/>
        <v>2012</v>
      </c>
      <c r="O67" s="2">
        <f t="shared" si="17"/>
        <v>9697.672061756195</v>
      </c>
      <c r="P67" s="2"/>
      <c r="Q67" s="2"/>
      <c r="R67">
        <f t="shared" si="18"/>
        <v>2012</v>
      </c>
      <c r="S67" s="2">
        <f t="shared" si="19"/>
        <v>255789.14752774852</v>
      </c>
      <c r="T67" s="2"/>
      <c r="U67" s="2"/>
      <c r="V67" s="2"/>
      <c r="W67" s="2"/>
      <c r="X67" s="2"/>
      <c r="Y67" s="2">
        <f t="shared" si="20"/>
        <v>152802.4856971284</v>
      </c>
      <c r="Z67" s="2">
        <f t="shared" si="21"/>
        <v>408591.63322487695</v>
      </c>
      <c r="AA67" s="2">
        <f t="shared" si="49"/>
        <v>32134.27012581192</v>
      </c>
      <c r="AB67" s="83">
        <f t="shared" si="50"/>
        <v>8.5359653643846414E-2</v>
      </c>
      <c r="AC67" s="7">
        <f t="shared" si="24"/>
        <v>1.0853596536438463</v>
      </c>
      <c r="AD67" s="2">
        <f t="shared" si="25"/>
        <v>0</v>
      </c>
      <c r="AE67" s="2"/>
      <c r="AG67">
        <f t="shared" si="26"/>
        <v>2012</v>
      </c>
      <c r="AH67" s="6">
        <f t="shared" si="48"/>
        <v>0.6260263958634944</v>
      </c>
      <c r="AI67" s="7"/>
      <c r="AJ67" s="6">
        <f t="shared" si="42"/>
        <v>0</v>
      </c>
      <c r="AK67" s="6">
        <f t="shared" si="42"/>
        <v>0</v>
      </c>
      <c r="AL67" s="7"/>
      <c r="AM67" s="6">
        <f t="shared" si="51"/>
        <v>0</v>
      </c>
      <c r="AN67" s="6">
        <f t="shared" si="28"/>
        <v>0.37397360413650554</v>
      </c>
      <c r="AO67" s="6">
        <f t="shared" si="29"/>
        <v>1</v>
      </c>
      <c r="AP67" s="7">
        <f t="shared" si="30"/>
        <v>0.6260263958634944</v>
      </c>
      <c r="AQ67" s="7">
        <f t="shared" si="31"/>
        <v>0</v>
      </c>
      <c r="AR67" s="24"/>
      <c r="AS67">
        <f t="shared" si="32"/>
        <v>2012</v>
      </c>
      <c r="AT67" s="1" t="b">
        <f t="shared" si="33"/>
        <v>0</v>
      </c>
      <c r="AV67" s="1" t="b">
        <f t="shared" si="44"/>
        <v>0</v>
      </c>
      <c r="AW67" s="1" t="b">
        <f t="shared" si="45"/>
        <v>0</v>
      </c>
      <c r="AY67" s="1" t="b">
        <f t="shared" si="41"/>
        <v>0</v>
      </c>
      <c r="AZ67" s="1" t="b">
        <f t="shared" si="35"/>
        <v>0</v>
      </c>
      <c r="BA67" s="1" t="b">
        <f t="shared" si="36"/>
        <v>1</v>
      </c>
      <c r="BC67">
        <f t="shared" si="37"/>
        <v>2012</v>
      </c>
      <c r="BD67" s="2">
        <f t="shared" si="46"/>
        <v>245154.97993492614</v>
      </c>
      <c r="BE67" s="2"/>
      <c r="BF67" s="2">
        <f t="shared" si="43"/>
        <v>0</v>
      </c>
      <c r="BG67" s="2">
        <f t="shared" si="43"/>
        <v>0</v>
      </c>
      <c r="BH67" s="2"/>
      <c r="BI67" s="2">
        <f t="shared" si="47"/>
        <v>0</v>
      </c>
      <c r="BJ67" s="2">
        <f t="shared" si="10"/>
        <v>163436.6532899508</v>
      </c>
      <c r="BK67" s="2">
        <f t="shared" si="38"/>
        <v>408591.63322487695</v>
      </c>
      <c r="BL67" s="2">
        <f t="shared" si="39"/>
        <v>0</v>
      </c>
      <c r="BM67" s="2"/>
    </row>
    <row r="68" spans="1:65" x14ac:dyDescent="0.2">
      <c r="A68">
        <f t="shared" si="6"/>
        <v>2013</v>
      </c>
      <c r="B68" s="2">
        <f t="shared" si="11"/>
        <v>324045.85247798538</v>
      </c>
      <c r="C68" s="2"/>
      <c r="D68" s="2"/>
      <c r="E68" s="2"/>
      <c r="F68" s="2"/>
      <c r="G68" s="2"/>
      <c r="H68" s="2">
        <f t="shared" si="12"/>
        <v>159742.98492559794</v>
      </c>
      <c r="I68" s="2">
        <f t="shared" si="40"/>
        <v>483788.83740358334</v>
      </c>
      <c r="J68" s="2">
        <f t="shared" si="13"/>
        <v>65499.532116950257</v>
      </c>
      <c r="K68" s="83">
        <f t="shared" si="14"/>
        <v>0.15658906715787688</v>
      </c>
      <c r="L68" s="7">
        <f t="shared" si="15"/>
        <v>1.1565890671578769</v>
      </c>
      <c r="N68">
        <f t="shared" si="16"/>
        <v>2013</v>
      </c>
      <c r="O68" s="2">
        <f t="shared" si="17"/>
        <v>9809.7375557141095</v>
      </c>
      <c r="P68" s="2"/>
      <c r="Q68" s="2"/>
      <c r="R68">
        <f t="shared" si="18"/>
        <v>2013</v>
      </c>
      <c r="S68" s="2">
        <f t="shared" si="19"/>
        <v>318160.00994455692</v>
      </c>
      <c r="T68" s="2"/>
      <c r="U68" s="2"/>
      <c r="V68" s="2"/>
      <c r="W68" s="2"/>
      <c r="X68" s="2"/>
      <c r="Y68" s="2">
        <f t="shared" si="20"/>
        <v>155819.0899033123</v>
      </c>
      <c r="Z68" s="2">
        <f t="shared" si="21"/>
        <v>473979.09984786925</v>
      </c>
      <c r="AA68" s="2">
        <f t="shared" si="49"/>
        <v>65387.466622992302</v>
      </c>
      <c r="AB68" s="83">
        <f t="shared" si="50"/>
        <v>0.16003134011068931</v>
      </c>
      <c r="AC68" s="7">
        <f t="shared" si="24"/>
        <v>1.1600313401106894</v>
      </c>
      <c r="AD68" s="2">
        <f t="shared" si="25"/>
        <v>0</v>
      </c>
      <c r="AE68" s="2"/>
      <c r="AG68">
        <f t="shared" si="26"/>
        <v>2013</v>
      </c>
      <c r="AH68" s="6">
        <f t="shared" si="48"/>
        <v>0.67125324734081138</v>
      </c>
      <c r="AI68" s="7"/>
      <c r="AJ68" s="6">
        <f t="shared" si="42"/>
        <v>0</v>
      </c>
      <c r="AK68" s="6">
        <f t="shared" si="42"/>
        <v>0</v>
      </c>
      <c r="AL68" s="7"/>
      <c r="AM68" s="6">
        <f t="shared" si="51"/>
        <v>0</v>
      </c>
      <c r="AN68" s="6">
        <f t="shared" si="28"/>
        <v>0.32874675265918851</v>
      </c>
      <c r="AO68" s="6">
        <f t="shared" si="29"/>
        <v>0.99999999999999989</v>
      </c>
      <c r="AP68" s="7">
        <f t="shared" si="30"/>
        <v>0.67125324734081138</v>
      </c>
      <c r="AQ68" s="7">
        <f t="shared" si="31"/>
        <v>0</v>
      </c>
      <c r="AR68" s="24"/>
      <c r="AS68">
        <f t="shared" si="32"/>
        <v>2013</v>
      </c>
      <c r="AT68" s="1" t="b">
        <f t="shared" si="33"/>
        <v>0</v>
      </c>
      <c r="AV68" s="1" t="b">
        <f t="shared" si="44"/>
        <v>0</v>
      </c>
      <c r="AW68" s="1" t="b">
        <f t="shared" si="45"/>
        <v>0</v>
      </c>
      <c r="AY68" s="1" t="b">
        <f t="shared" si="41"/>
        <v>0</v>
      </c>
      <c r="AZ68" s="1" t="b">
        <f t="shared" si="35"/>
        <v>1</v>
      </c>
      <c r="BA68" s="1" t="b">
        <f t="shared" si="36"/>
        <v>1</v>
      </c>
      <c r="BC68">
        <f t="shared" si="37"/>
        <v>2013</v>
      </c>
      <c r="BD68" s="2">
        <f t="shared" si="46"/>
        <v>284387.45990872156</v>
      </c>
      <c r="BE68" s="2"/>
      <c r="BF68" s="2">
        <f t="shared" si="43"/>
        <v>0</v>
      </c>
      <c r="BG68" s="2">
        <f t="shared" si="43"/>
        <v>0</v>
      </c>
      <c r="BH68" s="2"/>
      <c r="BI68" s="2">
        <f t="shared" si="47"/>
        <v>0</v>
      </c>
      <c r="BJ68" s="2">
        <f t="shared" si="10"/>
        <v>189591.63993914772</v>
      </c>
      <c r="BK68" s="2">
        <f t="shared" si="38"/>
        <v>473979.09984786925</v>
      </c>
      <c r="BL68" s="2">
        <f t="shared" si="39"/>
        <v>0</v>
      </c>
      <c r="BM68" s="2"/>
    </row>
    <row r="69" spans="1:65" x14ac:dyDescent="0.2">
      <c r="A69">
        <f t="shared" si="6"/>
        <v>2014</v>
      </c>
      <c r="B69" s="2">
        <f t="shared" si="11"/>
        <v>322808.20574238984</v>
      </c>
      <c r="C69" s="2"/>
      <c r="D69" s="2"/>
      <c r="E69" s="2"/>
      <c r="F69" s="2"/>
      <c r="G69" s="2"/>
      <c r="H69" s="2">
        <f t="shared" si="12"/>
        <v>200512.11839964264</v>
      </c>
      <c r="I69" s="2">
        <f t="shared" si="40"/>
        <v>523320.32414203248</v>
      </c>
      <c r="J69" s="2">
        <f t="shared" si="13"/>
        <v>39531.486738449137</v>
      </c>
      <c r="K69" s="83">
        <f t="shared" si="14"/>
        <v>8.1712275443576274E-2</v>
      </c>
      <c r="L69" s="7">
        <f t="shared" si="15"/>
        <v>1.0817122754435762</v>
      </c>
      <c r="N69">
        <f t="shared" si="16"/>
        <v>2014</v>
      </c>
      <c r="O69" s="2">
        <f t="shared" si="17"/>
        <v>9936.28317018282</v>
      </c>
      <c r="P69" s="2"/>
      <c r="R69">
        <f t="shared" si="18"/>
        <v>2014</v>
      </c>
      <c r="S69" s="2">
        <f t="shared" si="19"/>
        <v>316846.43584028014</v>
      </c>
      <c r="T69" s="2"/>
      <c r="U69" s="2"/>
      <c r="V69" s="2"/>
      <c r="W69" s="2"/>
      <c r="X69" s="2"/>
      <c r="Y69" s="2">
        <f t="shared" si="20"/>
        <v>196537.60513156952</v>
      </c>
      <c r="Z69" s="2">
        <f t="shared" si="21"/>
        <v>513384.0409718497</v>
      </c>
      <c r="AA69" s="2">
        <f t="shared" si="49"/>
        <v>39404.941123980447</v>
      </c>
      <c r="AB69" s="83">
        <f t="shared" si="50"/>
        <v>8.3136452929312835E-2</v>
      </c>
      <c r="AC69" s="7">
        <f t="shared" si="24"/>
        <v>1.0831364529293128</v>
      </c>
      <c r="AD69" s="2">
        <f t="shared" si="25"/>
        <v>0</v>
      </c>
      <c r="AE69" s="2"/>
      <c r="AG69">
        <f t="shared" si="26"/>
        <v>2014</v>
      </c>
      <c r="AH69" s="6">
        <f t="shared" si="48"/>
        <v>0.61717235159955763</v>
      </c>
      <c r="AI69" s="7"/>
      <c r="AJ69" s="6">
        <f t="shared" si="42"/>
        <v>0</v>
      </c>
      <c r="AK69" s="6">
        <f t="shared" si="42"/>
        <v>0</v>
      </c>
      <c r="AL69" s="7"/>
      <c r="AM69" s="6">
        <f t="shared" si="51"/>
        <v>0</v>
      </c>
      <c r="AN69" s="6">
        <f t="shared" si="28"/>
        <v>0.38282764840044226</v>
      </c>
      <c r="AO69" s="6">
        <f t="shared" ref="AO69:AO71" si="52">SUM(AH69:AN69)</f>
        <v>0.99999999999999989</v>
      </c>
      <c r="AP69" s="7">
        <f t="shared" ref="AP69:AP71" si="53">SUM(AH69:AM69)</f>
        <v>0.61717235159955763</v>
      </c>
      <c r="AQ69" s="7">
        <f t="shared" si="31"/>
        <v>0</v>
      </c>
      <c r="AR69" s="24"/>
      <c r="AS69">
        <f t="shared" si="32"/>
        <v>2014</v>
      </c>
      <c r="AT69" s="1" t="b">
        <f t="shared" si="33"/>
        <v>0</v>
      </c>
      <c r="AV69" s="1" t="b">
        <f t="shared" si="44"/>
        <v>0</v>
      </c>
      <c r="AW69" s="1" t="b">
        <f t="shared" si="45"/>
        <v>0</v>
      </c>
      <c r="AY69" s="1" t="b">
        <f t="shared" si="41"/>
        <v>0</v>
      </c>
      <c r="AZ69" s="1" t="b">
        <f t="shared" si="35"/>
        <v>0</v>
      </c>
      <c r="BA69" s="1" t="b">
        <f t="shared" si="36"/>
        <v>1</v>
      </c>
      <c r="BC69">
        <f t="shared" si="37"/>
        <v>2014</v>
      </c>
      <c r="BD69" s="2">
        <f t="shared" si="46"/>
        <v>308030.42458310979</v>
      </c>
      <c r="BE69" s="2"/>
      <c r="BF69" s="2">
        <f t="shared" si="43"/>
        <v>0</v>
      </c>
      <c r="BG69" s="2">
        <f t="shared" si="43"/>
        <v>0</v>
      </c>
      <c r="BH69" s="2"/>
      <c r="BI69" s="2">
        <f t="shared" si="47"/>
        <v>0</v>
      </c>
      <c r="BJ69" s="2">
        <f t="shared" si="10"/>
        <v>205353.6163887399</v>
      </c>
      <c r="BK69" s="2">
        <f t="shared" si="38"/>
        <v>513384.0409718497</v>
      </c>
      <c r="BL69" s="2">
        <f t="shared" si="39"/>
        <v>0</v>
      </c>
      <c r="BM69" s="20"/>
    </row>
    <row r="70" spans="1:65" x14ac:dyDescent="0.2">
      <c r="A70">
        <f t="shared" si="6"/>
        <v>2015</v>
      </c>
      <c r="B70" s="2">
        <f t="shared" si="11"/>
        <v>311880.80489039863</v>
      </c>
      <c r="C70" s="2"/>
      <c r="D70" s="2"/>
      <c r="E70" s="2"/>
      <c r="F70" s="2"/>
      <c r="G70" s="2"/>
      <c r="H70" s="2">
        <f t="shared" si="12"/>
        <v>205969.67723790609</v>
      </c>
      <c r="I70" s="2">
        <f t="shared" si="40"/>
        <v>517850.48212830472</v>
      </c>
      <c r="J70" s="2">
        <f t="shared" si="13"/>
        <v>-5469.8420137277571</v>
      </c>
      <c r="K70" s="83">
        <f t="shared" si="14"/>
        <v>-1.0452187238658071E-2</v>
      </c>
      <c r="L70" s="7">
        <f t="shared" si="15"/>
        <v>0.98954781276134196</v>
      </c>
      <c r="N70">
        <f t="shared" si="16"/>
        <v>2015</v>
      </c>
      <c r="O70" s="2">
        <f t="shared" si="17"/>
        <v>9980.0028161316241</v>
      </c>
      <c r="P70" s="2"/>
      <c r="R70">
        <f t="shared" si="18"/>
        <v>2015</v>
      </c>
      <c r="S70" s="2">
        <f t="shared" si="19"/>
        <v>305892.80320071965</v>
      </c>
      <c r="T70" s="2"/>
      <c r="U70" s="2"/>
      <c r="V70" s="2"/>
      <c r="W70" s="2"/>
      <c r="X70" s="2"/>
      <c r="Y70" s="2">
        <f t="shared" si="20"/>
        <v>201977.67611145345</v>
      </c>
      <c r="Z70" s="2">
        <f t="shared" si="21"/>
        <v>507870.47931217309</v>
      </c>
      <c r="AA70" s="2">
        <f t="shared" si="49"/>
        <v>-5513.5616596766049</v>
      </c>
      <c r="AB70" s="83">
        <f t="shared" si="50"/>
        <v>-1.0739643657873131E-2</v>
      </c>
      <c r="AC70" s="7">
        <f t="shared" si="24"/>
        <v>0.98926035634212683</v>
      </c>
      <c r="AD70" s="2">
        <f t="shared" si="25"/>
        <v>0</v>
      </c>
      <c r="AE70" s="2"/>
      <c r="AG70">
        <f t="shared" si="26"/>
        <v>2015</v>
      </c>
      <c r="AH70" s="6">
        <f t="shared" si="48"/>
        <v>0.60230475221753599</v>
      </c>
      <c r="AI70" s="7"/>
      <c r="AJ70" s="6">
        <f t="shared" ref="AJ70:AK71" si="54">U70/$Z70</f>
        <v>0</v>
      </c>
      <c r="AK70" s="6">
        <f t="shared" si="54"/>
        <v>0</v>
      </c>
      <c r="AL70" s="7"/>
      <c r="AM70" s="6">
        <f t="shared" si="51"/>
        <v>0</v>
      </c>
      <c r="AN70" s="6">
        <f t="shared" si="28"/>
        <v>0.39769524778246401</v>
      </c>
      <c r="AO70" s="6">
        <f t="shared" si="52"/>
        <v>1</v>
      </c>
      <c r="AP70" s="7">
        <f t="shared" si="53"/>
        <v>0.60230475221753599</v>
      </c>
      <c r="AQ70" s="7">
        <f t="shared" si="31"/>
        <v>0</v>
      </c>
      <c r="AR70" s="24"/>
      <c r="AS70">
        <f t="shared" si="32"/>
        <v>2015</v>
      </c>
      <c r="AT70" s="1" t="b">
        <f t="shared" si="33"/>
        <v>0</v>
      </c>
      <c r="AV70" s="1" t="b">
        <f t="shared" si="44"/>
        <v>0</v>
      </c>
      <c r="AW70" s="1" t="b">
        <f t="shared" si="45"/>
        <v>0</v>
      </c>
      <c r="AY70" s="1" t="b">
        <f t="shared" si="41"/>
        <v>0</v>
      </c>
      <c r="AZ70" s="1" t="b">
        <f t="shared" si="35"/>
        <v>0</v>
      </c>
      <c r="BA70" s="1" t="b">
        <f t="shared" si="36"/>
        <v>1</v>
      </c>
      <c r="BC70">
        <f t="shared" si="37"/>
        <v>2015</v>
      </c>
      <c r="BD70" s="2">
        <f t="shared" si="46"/>
        <v>304722.28758730384</v>
      </c>
      <c r="BE70" s="2"/>
      <c r="BF70" s="2">
        <f t="shared" ref="BF70:BG71" si="55">$BK70*BF$42</f>
        <v>0</v>
      </c>
      <c r="BG70" s="2">
        <f t="shared" si="55"/>
        <v>0</v>
      </c>
      <c r="BH70" s="2"/>
      <c r="BI70" s="2">
        <f t="shared" si="47"/>
        <v>0</v>
      </c>
      <c r="BJ70" s="2">
        <f t="shared" si="10"/>
        <v>203148.19172486925</v>
      </c>
      <c r="BK70" s="2">
        <f t="shared" si="38"/>
        <v>507870.47931217309</v>
      </c>
      <c r="BL70" s="2">
        <f t="shared" si="39"/>
        <v>0</v>
      </c>
      <c r="BM70" s="20"/>
    </row>
    <row r="71" spans="1:65" x14ac:dyDescent="0.2">
      <c r="A71">
        <f t="shared" si="6"/>
        <v>2016</v>
      </c>
      <c r="B71" s="2">
        <f t="shared" si="11"/>
        <v>340740.46198012319</v>
      </c>
      <c r="C71" s="2"/>
      <c r="D71" s="2"/>
      <c r="E71" s="2"/>
      <c r="F71" s="2"/>
      <c r="G71" s="2"/>
      <c r="H71" s="2">
        <f t="shared" si="12"/>
        <v>208226.89651799097</v>
      </c>
      <c r="I71" s="2">
        <f t="shared" si="40"/>
        <v>548967.35849811416</v>
      </c>
      <c r="J71" s="2">
        <f t="shared" si="13"/>
        <v>31116.876369809441</v>
      </c>
      <c r="K71" s="83">
        <f t="shared" si="14"/>
        <v>6.0088534130397504E-2</v>
      </c>
      <c r="L71" s="7">
        <f t="shared" si="15"/>
        <v>1.0600885341303976</v>
      </c>
      <c r="N71">
        <f t="shared" si="16"/>
        <v>2016</v>
      </c>
      <c r="O71" s="2">
        <f t="shared" si="17"/>
        <v>10149.662864005861</v>
      </c>
      <c r="P71" s="2"/>
      <c r="R71">
        <f t="shared" si="18"/>
        <v>2016</v>
      </c>
      <c r="S71" s="2">
        <f t="shared" si="19"/>
        <v>334650.66426171968</v>
      </c>
      <c r="T71" s="2"/>
      <c r="U71" s="2"/>
      <c r="V71" s="2"/>
      <c r="W71" s="2"/>
      <c r="X71" s="2"/>
      <c r="Y71" s="2">
        <f t="shared" si="20"/>
        <v>204167.03137238862</v>
      </c>
      <c r="Z71" s="2">
        <f t="shared" si="21"/>
        <v>538817.69563410827</v>
      </c>
      <c r="AA71" s="2">
        <f t="shared" si="49"/>
        <v>30947.216321935179</v>
      </c>
      <c r="AB71" s="83">
        <f t="shared" si="50"/>
        <v>6.0935253342246011E-2</v>
      </c>
      <c r="AC71" s="7">
        <f t="shared" si="24"/>
        <v>1.060935253342246</v>
      </c>
      <c r="AD71" s="2">
        <f t="shared" si="25"/>
        <v>0</v>
      </c>
      <c r="AE71" s="2"/>
      <c r="AG71">
        <f t="shared" si="26"/>
        <v>2016</v>
      </c>
      <c r="AH71" s="6">
        <f t="shared" si="48"/>
        <v>0.62108328470520191</v>
      </c>
      <c r="AI71" s="7"/>
      <c r="AJ71" s="6">
        <f t="shared" si="54"/>
        <v>0</v>
      </c>
      <c r="AK71" s="6">
        <f t="shared" si="54"/>
        <v>0</v>
      </c>
      <c r="AL71" s="7"/>
      <c r="AM71" s="6">
        <f t="shared" si="51"/>
        <v>0</v>
      </c>
      <c r="AN71" s="6">
        <f t="shared" si="28"/>
        <v>0.3789167152947982</v>
      </c>
      <c r="AO71" s="6">
        <f t="shared" si="52"/>
        <v>1</v>
      </c>
      <c r="AP71" s="7">
        <f t="shared" si="53"/>
        <v>0.62108328470520191</v>
      </c>
      <c r="AQ71" s="7">
        <f t="shared" si="31"/>
        <v>0</v>
      </c>
      <c r="AR71" s="24"/>
      <c r="AS71">
        <f t="shared" si="32"/>
        <v>2016</v>
      </c>
      <c r="AT71" s="1" t="b">
        <f t="shared" si="33"/>
        <v>0</v>
      </c>
      <c r="AV71" s="1" t="b">
        <f t="shared" si="44"/>
        <v>0</v>
      </c>
      <c r="AW71" s="1" t="b">
        <f t="shared" si="45"/>
        <v>0</v>
      </c>
      <c r="AY71" s="1" t="b">
        <f t="shared" si="41"/>
        <v>0</v>
      </c>
      <c r="AZ71" s="1" t="b">
        <f t="shared" si="35"/>
        <v>0</v>
      </c>
      <c r="BA71" s="1" t="b">
        <f t="shared" si="36"/>
        <v>1</v>
      </c>
      <c r="BC71">
        <f t="shared" si="37"/>
        <v>2016</v>
      </c>
      <c r="BD71" s="2">
        <f t="shared" si="46"/>
        <v>323290.61738046497</v>
      </c>
      <c r="BE71" s="2"/>
      <c r="BF71" s="2">
        <f t="shared" si="55"/>
        <v>0</v>
      </c>
      <c r="BG71" s="2">
        <f t="shared" si="55"/>
        <v>0</v>
      </c>
      <c r="BH71" s="2"/>
      <c r="BI71" s="2">
        <f t="shared" si="47"/>
        <v>0</v>
      </c>
      <c r="BJ71" s="2">
        <f t="shared" si="10"/>
        <v>215527.07825364333</v>
      </c>
      <c r="BK71" s="2">
        <f t="shared" si="38"/>
        <v>538817.69563410827</v>
      </c>
      <c r="BL71" s="2">
        <f t="shared" si="39"/>
        <v>0</v>
      </c>
      <c r="BM71" s="20"/>
    </row>
    <row r="72" spans="1:65" x14ac:dyDescent="0.2">
      <c r="A72">
        <f t="shared" si="6"/>
        <v>2017</v>
      </c>
      <c r="B72" s="2">
        <f t="shared" si="11"/>
        <v>393347.69416681171</v>
      </c>
      <c r="C72" s="2"/>
      <c r="D72" s="2"/>
      <c r="E72" s="2"/>
      <c r="F72" s="2"/>
      <c r="G72" s="2"/>
      <c r="H72" s="2">
        <f t="shared" si="12"/>
        <v>222984.31516121939</v>
      </c>
      <c r="I72" s="2">
        <f>SUM(B72:H72)</f>
        <v>616332.0093280311</v>
      </c>
      <c r="J72" s="2">
        <f>I72-I71</f>
        <v>67364.650829916936</v>
      </c>
      <c r="K72" s="83">
        <f>(J72/I71)</f>
        <v>0.12271157799657838</v>
      </c>
      <c r="L72" s="7">
        <f>K72+1</f>
        <v>1.1227115779965784</v>
      </c>
      <c r="N72">
        <f>A72</f>
        <v>2017</v>
      </c>
      <c r="O72" s="2">
        <f t="shared" si="17"/>
        <v>10376.000345873192</v>
      </c>
      <c r="P72" s="2"/>
      <c r="R72">
        <f>A72</f>
        <v>2017</v>
      </c>
      <c r="S72" s="2">
        <f>B72-($O72*0.6)</f>
        <v>387122.0939592878</v>
      </c>
      <c r="T72" s="2"/>
      <c r="U72" s="2"/>
      <c r="V72" s="2"/>
      <c r="W72" s="2"/>
      <c r="X72" s="2"/>
      <c r="Y72" s="2">
        <f>H72-($O72*0.4)</f>
        <v>218833.91502287012</v>
      </c>
      <c r="Z72" s="2">
        <f>SUM(S72:Y72)</f>
        <v>605956.00898215792</v>
      </c>
      <c r="AA72" s="2">
        <f>Z72-Z71</f>
        <v>67138.313348049647</v>
      </c>
      <c r="AB72" s="83">
        <f>(AA72/Z71)</f>
        <v>0.12460302230615837</v>
      </c>
      <c r="AC72" s="7">
        <f>AB72+1</f>
        <v>1.1246030223061583</v>
      </c>
      <c r="AD72" s="2">
        <f>Z72-(I72-O72)</f>
        <v>0</v>
      </c>
      <c r="AE72" s="2"/>
      <c r="AG72">
        <f>A72</f>
        <v>2017</v>
      </c>
      <c r="AH72" s="6">
        <f>S72/$Z72</f>
        <v>0.63886171309621653</v>
      </c>
      <c r="AI72" s="7"/>
      <c r="AJ72" s="6">
        <f t="shared" ref="AJ72:AK73" si="56">U72/$Z72</f>
        <v>0</v>
      </c>
      <c r="AK72" s="6">
        <f t="shared" si="56"/>
        <v>0</v>
      </c>
      <c r="AL72" s="7"/>
      <c r="AM72" s="6">
        <f t="shared" ref="AM72:AN73" si="57">X72/$Z72</f>
        <v>0</v>
      </c>
      <c r="AN72" s="6">
        <f t="shared" si="57"/>
        <v>0.36113828690378341</v>
      </c>
      <c r="AO72" s="6">
        <f>SUM(AH72:AN72)</f>
        <v>1</v>
      </c>
      <c r="AP72" s="7">
        <f>SUM(AH72:AM72)</f>
        <v>0.63886171309621653</v>
      </c>
      <c r="AQ72" s="7">
        <f>AO72-(AP72+AN72)</f>
        <v>0</v>
      </c>
      <c r="AR72" s="24"/>
      <c r="AS72">
        <f>AG72</f>
        <v>2017</v>
      </c>
      <c r="AT72" s="1" t="b">
        <f>AND((S72/$Z72)&gt;0.15,(S72/$Z72)&lt;0.25)</f>
        <v>0</v>
      </c>
      <c r="AV72" s="1" t="b">
        <f>AND((U72/$Z72)&gt;0.15,(U72/$Z72)&lt;0.25)</f>
        <v>0</v>
      </c>
      <c r="AW72" s="1" t="b">
        <f>AND((V72/$Z72)&gt;0.05,(V72/$Z72)&lt;0.15)</f>
        <v>0</v>
      </c>
      <c r="AY72" s="1" t="b">
        <f>AND((X72/$Z72)&gt;0.15,(X72/$Z72)&lt;0.25)</f>
        <v>0</v>
      </c>
      <c r="AZ72" s="1" t="b">
        <f>AND((Y72/$Z72)&gt;0.25,(Y72/$Z72)&lt;0.35)</f>
        <v>0</v>
      </c>
      <c r="BA72" s="1" t="b">
        <f>AND((Z72/$Z72)&gt;0.999,(Z72/$Z72)&lt;1.01)</f>
        <v>1</v>
      </c>
      <c r="BC72">
        <f>AS72</f>
        <v>2017</v>
      </c>
      <c r="BD72" s="2">
        <f>$BK72*BD$42</f>
        <v>363573.60538929474</v>
      </c>
      <c r="BE72" s="2"/>
      <c r="BF72" s="2">
        <f t="shared" ref="BF72:BG75" si="58">$BK72*BF$42</f>
        <v>0</v>
      </c>
      <c r="BG72" s="2">
        <f t="shared" si="58"/>
        <v>0</v>
      </c>
      <c r="BH72" s="2"/>
      <c r="BI72" s="2">
        <f t="shared" ref="BI72:BJ75" si="59">$BK72*BI$42</f>
        <v>0</v>
      </c>
      <c r="BJ72" s="2">
        <f t="shared" si="59"/>
        <v>242382.40359286318</v>
      </c>
      <c r="BK72" s="2">
        <f>Z72</f>
        <v>605956.00898215792</v>
      </c>
      <c r="BL72" s="2">
        <f>SUM(BD72:BJ72)-Z72</f>
        <v>0</v>
      </c>
      <c r="BM72" s="20"/>
    </row>
    <row r="73" spans="1:65" x14ac:dyDescent="0.2">
      <c r="A73">
        <f t="shared" si="6"/>
        <v>2018</v>
      </c>
      <c r="B73" s="2">
        <f t="shared" si="11"/>
        <v>347212.79314677644</v>
      </c>
      <c r="C73" s="2"/>
      <c r="D73" s="2"/>
      <c r="E73" s="2"/>
      <c r="F73" s="2"/>
      <c r="G73" s="2"/>
      <c r="H73" s="2">
        <f t="shared" si="12"/>
        <v>242140.02118927031</v>
      </c>
      <c r="I73" s="2">
        <f>SUM(B73:H73)</f>
        <v>589352.81433604681</v>
      </c>
      <c r="J73" s="2">
        <f>I73-I72</f>
        <v>-26979.194991984288</v>
      </c>
      <c r="K73" s="83">
        <f>(J73/I72)</f>
        <v>-4.3773801431145724E-2</v>
      </c>
      <c r="L73" s="7">
        <f>K73+1</f>
        <v>0.95622619856885427</v>
      </c>
      <c r="N73">
        <f>A73</f>
        <v>2018</v>
      </c>
      <c r="O73" s="2">
        <f t="shared" si="17"/>
        <v>10605.193234993712</v>
      </c>
      <c r="P73" s="2"/>
      <c r="R73">
        <f>A73</f>
        <v>2018</v>
      </c>
      <c r="S73" s="2">
        <f>B73-($O73*0.6)</f>
        <v>340849.67720578023</v>
      </c>
      <c r="T73" s="2"/>
      <c r="U73" s="2"/>
      <c r="V73" s="2"/>
      <c r="W73" s="2"/>
      <c r="X73" s="2"/>
      <c r="Y73" s="2">
        <f>H73-($O73*0.4)</f>
        <v>237897.94389527282</v>
      </c>
      <c r="Z73" s="2">
        <f>SUM(S73:Y73)</f>
        <v>578747.62110105308</v>
      </c>
      <c r="AA73" s="2">
        <f>Z73-Z72</f>
        <v>-27208.387881104834</v>
      </c>
      <c r="AB73" s="83">
        <f>(AA73/Z72)</f>
        <v>-4.4901589352678524E-2</v>
      </c>
      <c r="AC73" s="7">
        <f>AB73+1</f>
        <v>0.95509841064732148</v>
      </c>
      <c r="AD73" s="2">
        <f>Z73-(I73-O73)</f>
        <v>0</v>
      </c>
      <c r="AE73" s="2"/>
      <c r="AG73">
        <f>A73</f>
        <v>2018</v>
      </c>
      <c r="AH73" s="6">
        <f>S73/$Z73</f>
        <v>0.58894354772002711</v>
      </c>
      <c r="AI73" s="7"/>
      <c r="AJ73" s="6">
        <f t="shared" si="56"/>
        <v>0</v>
      </c>
      <c r="AK73" s="6">
        <f t="shared" si="56"/>
        <v>0</v>
      </c>
      <c r="AL73" s="7"/>
      <c r="AM73" s="6">
        <f t="shared" si="57"/>
        <v>0</v>
      </c>
      <c r="AN73" s="6">
        <f t="shared" si="57"/>
        <v>0.41105645227997284</v>
      </c>
      <c r="AO73" s="6">
        <f>SUM(AH73:AN73)</f>
        <v>1</v>
      </c>
      <c r="AP73" s="7">
        <f>SUM(AH73:AM73)</f>
        <v>0.58894354772002711</v>
      </c>
      <c r="AQ73" s="7">
        <f>AO73-(AP73+AN73)</f>
        <v>0</v>
      </c>
      <c r="AR73" s="24"/>
      <c r="AS73">
        <f>AG73</f>
        <v>2018</v>
      </c>
      <c r="AT73" s="1" t="b">
        <f>AND((S73/$Z73)&gt;0.15,(S73/$Z73)&lt;0.25)</f>
        <v>0</v>
      </c>
      <c r="AV73" s="1" t="b">
        <f>AND((U73/$Z73)&gt;0.15,(U73/$Z73)&lt;0.25)</f>
        <v>0</v>
      </c>
      <c r="AW73" s="1" t="b">
        <f>AND((V73/$Z73)&gt;0.05,(V73/$Z73)&lt;0.15)</f>
        <v>0</v>
      </c>
      <c r="AY73" s="1" t="b">
        <f>AND((X73/$Z73)&gt;0.15,(X73/$Z73)&lt;0.25)</f>
        <v>0</v>
      </c>
      <c r="AZ73" s="1" t="b">
        <f>AND((Y73/$Z73)&gt;0.25,(Y73/$Z73)&lt;0.35)</f>
        <v>0</v>
      </c>
      <c r="BA73" s="1" t="b">
        <f>AND((Z73/$Z73)&gt;0.999,(Z73/$Z73)&lt;1.01)</f>
        <v>1</v>
      </c>
      <c r="BC73">
        <f>AS73</f>
        <v>2018</v>
      </c>
      <c r="BD73" s="2">
        <f>$BK73*BD$42</f>
        <v>347248.57266063185</v>
      </c>
      <c r="BE73" s="2"/>
      <c r="BF73" s="2">
        <f t="shared" si="58"/>
        <v>0</v>
      </c>
      <c r="BG73" s="2">
        <f t="shared" si="58"/>
        <v>0</v>
      </c>
      <c r="BH73" s="2"/>
      <c r="BI73" s="2">
        <f t="shared" si="59"/>
        <v>0</v>
      </c>
      <c r="BJ73" s="2">
        <f t="shared" si="59"/>
        <v>231499.04844042123</v>
      </c>
      <c r="BK73" s="2">
        <f>Z73</f>
        <v>578747.62110105308</v>
      </c>
      <c r="BL73" s="2">
        <f>SUM(BD73:BJ73)-Z73</f>
        <v>0</v>
      </c>
      <c r="BM73" s="20"/>
    </row>
    <row r="74" spans="1:65" x14ac:dyDescent="0.2">
      <c r="A74">
        <f t="shared" ref="A74:A75" si="60">A35</f>
        <v>2019</v>
      </c>
      <c r="B74" s="2">
        <f t="shared" ref="B74:B75" si="61">BD73*(1+(B35/100))</f>
        <v>456479.0836767602</v>
      </c>
      <c r="C74" s="2"/>
      <c r="D74" s="2"/>
      <c r="E74" s="2"/>
      <c r="F74" s="2"/>
      <c r="G74" s="2"/>
      <c r="H74" s="2">
        <f t="shared" ref="H74:H75" si="62">BJ73*(1+(H35/100))</f>
        <v>251671.87552151954</v>
      </c>
      <c r="I74" s="2">
        <f t="shared" ref="I74:I75" si="63">SUM(B74:H74)</f>
        <v>708150.95919827977</v>
      </c>
      <c r="J74" s="2">
        <f t="shared" ref="J74:J75" si="64">I74-I73</f>
        <v>118798.14486223296</v>
      </c>
      <c r="K74" s="83">
        <f t="shared" ref="K74:K75" si="65">(J74/I73)</f>
        <v>0.20157389932220582</v>
      </c>
      <c r="L74" s="7">
        <f t="shared" ref="L74:L75" si="66">K74+1</f>
        <v>1.2015738993222058</v>
      </c>
      <c r="N74">
        <f t="shared" ref="N74:N75" si="67">A74</f>
        <v>2019</v>
      </c>
      <c r="O74" s="2">
        <f t="shared" ref="O74:O75" si="68">O73*(1+O35)</f>
        <v>10847.659518283293</v>
      </c>
      <c r="P74" s="2"/>
      <c r="R74">
        <f t="shared" ref="R74:R75" si="69">A74</f>
        <v>2019</v>
      </c>
      <c r="S74" s="2">
        <f t="shared" ref="S74:S75" si="70">B74-($O74*0.6)</f>
        <v>449970.48796579021</v>
      </c>
      <c r="T74" s="2"/>
      <c r="U74" s="2"/>
      <c r="V74" s="2"/>
      <c r="W74" s="2"/>
      <c r="X74" s="2"/>
      <c r="Y74" s="2">
        <f t="shared" ref="Y74:Y75" si="71">H74-($O74*0.4)</f>
        <v>247332.81171420621</v>
      </c>
      <c r="Z74" s="2">
        <f t="shared" ref="Z74:Z75" si="72">SUM(S74:Y74)</f>
        <v>697303.29967999645</v>
      </c>
      <c r="AA74" s="2">
        <f t="shared" ref="AA74:AA75" si="73">Z74-Z73</f>
        <v>118555.67857894336</v>
      </c>
      <c r="AB74" s="83">
        <f t="shared" ref="AB74:AB75" si="74">(AA74/Z73)</f>
        <v>0.20484866677014432</v>
      </c>
      <c r="AC74" s="7">
        <f t="shared" ref="AC74:AC75" si="75">AB74+1</f>
        <v>1.2048486667701443</v>
      </c>
      <c r="AD74" s="2">
        <f t="shared" ref="AD74:AD75" si="76">Z74-(I74-O74)</f>
        <v>0</v>
      </c>
      <c r="AE74" s="2"/>
      <c r="AG74">
        <f t="shared" ref="AG74:AG75" si="77">A74</f>
        <v>2019</v>
      </c>
      <c r="AH74" s="6">
        <f t="shared" ref="AH74:AH75" si="78">S74/$Z74</f>
        <v>0.64530095895471717</v>
      </c>
      <c r="AI74" s="7"/>
      <c r="AJ74" s="6">
        <f t="shared" ref="AJ74:AJ75" si="79">U74/$Z74</f>
        <v>0</v>
      </c>
      <c r="AK74" s="6">
        <f t="shared" ref="AK74:AK75" si="80">V74/$Z74</f>
        <v>0</v>
      </c>
      <c r="AL74" s="7"/>
      <c r="AM74" s="6">
        <f t="shared" ref="AM74:AM75" si="81">X74/$Z74</f>
        <v>0</v>
      </c>
      <c r="AN74" s="6">
        <f t="shared" ref="AN74:AN75" si="82">Y74/$Z74</f>
        <v>0.35469904104528283</v>
      </c>
      <c r="AO74" s="6">
        <f t="shared" ref="AO74:AO75" si="83">SUM(AH74:AN74)</f>
        <v>1</v>
      </c>
      <c r="AP74" s="7">
        <f t="shared" ref="AP74:AP75" si="84">SUM(AH74:AM74)</f>
        <v>0.64530095895471717</v>
      </c>
      <c r="AQ74" s="7">
        <f t="shared" ref="AQ74:AQ75" si="85">AO74-(AP74+AN74)</f>
        <v>0</v>
      </c>
      <c r="AR74" s="24"/>
      <c r="AS74">
        <f t="shared" ref="AS74:AS75" si="86">AG74</f>
        <v>2019</v>
      </c>
      <c r="AT74" s="1" t="b">
        <f t="shared" ref="AT74:AT75" si="87">AND((S74/$Z74)&gt;0.15,(S74/$Z74)&lt;0.25)</f>
        <v>0</v>
      </c>
      <c r="AV74" s="1" t="b">
        <f t="shared" ref="AV74:AV75" si="88">AND((U74/$Z74)&gt;0.15,(U74/$Z74)&lt;0.25)</f>
        <v>0</v>
      </c>
      <c r="AW74" s="1" t="b">
        <f t="shared" ref="AW74:AW75" si="89">AND((V74/$Z74)&gt;0.05,(V74/$Z74)&lt;0.15)</f>
        <v>0</v>
      </c>
      <c r="AY74" s="1" t="b">
        <f t="shared" ref="AY74:AY75" si="90">AND((X74/$Z74)&gt;0.15,(X74/$Z74)&lt;0.25)</f>
        <v>0</v>
      </c>
      <c r="AZ74" s="1" t="b">
        <f t="shared" ref="AZ74:AZ75" si="91">AND((Y74/$Z74)&gt;0.25,(Y74/$Z74)&lt;0.35)</f>
        <v>0</v>
      </c>
      <c r="BA74" s="1" t="b">
        <f t="shared" ref="BA74:BA75" si="92">AND((Z74/$Z74)&gt;0.999,(Z74/$Z74)&lt;1.01)</f>
        <v>1</v>
      </c>
      <c r="BC74">
        <f t="shared" ref="BC74:BC75" si="93">AS74</f>
        <v>2019</v>
      </c>
      <c r="BD74" s="2">
        <f t="shared" ref="BD74:BD75" si="94">$BK74*BD$42</f>
        <v>418381.97980799788</v>
      </c>
      <c r="BE74" s="2"/>
      <c r="BF74" s="2">
        <f t="shared" si="58"/>
        <v>0</v>
      </c>
      <c r="BG74" s="2">
        <f t="shared" si="58"/>
        <v>0</v>
      </c>
      <c r="BH74" s="2"/>
      <c r="BI74" s="2">
        <f t="shared" si="59"/>
        <v>0</v>
      </c>
      <c r="BJ74" s="2">
        <f t="shared" si="59"/>
        <v>278921.31987199857</v>
      </c>
      <c r="BK74" s="2">
        <f t="shared" ref="BK74:BK75" si="95">Z74</f>
        <v>697303.29967999645</v>
      </c>
      <c r="BL74" s="2">
        <f t="shared" ref="BL74:BL75" si="96">SUM(BD74:BJ74)-Z74</f>
        <v>0</v>
      </c>
      <c r="BM74" s="20"/>
    </row>
    <row r="75" spans="1:65" x14ac:dyDescent="0.2">
      <c r="A75">
        <f t="shared" si="60"/>
        <v>2020</v>
      </c>
      <c r="B75" s="2">
        <f t="shared" si="61"/>
        <v>495238.74949872709</v>
      </c>
      <c r="C75" s="2"/>
      <c r="D75" s="2"/>
      <c r="E75" s="2"/>
      <c r="F75" s="2"/>
      <c r="G75" s="2"/>
      <c r="H75" s="2">
        <f t="shared" si="62"/>
        <v>300454.04576611682</v>
      </c>
      <c r="I75" s="2">
        <f t="shared" si="63"/>
        <v>795692.79526484385</v>
      </c>
      <c r="J75" s="2">
        <f t="shared" si="64"/>
        <v>87541.836066564079</v>
      </c>
      <c r="K75" s="83">
        <f t="shared" si="65"/>
        <v>0.12362030288806355</v>
      </c>
      <c r="L75" s="7">
        <f t="shared" si="66"/>
        <v>1.1236203028880636</v>
      </c>
      <c r="N75">
        <f t="shared" si="67"/>
        <v>2020</v>
      </c>
      <c r="O75" s="2">
        <f t="shared" si="68"/>
        <v>10971.193559132775</v>
      </c>
      <c r="P75" s="2"/>
      <c r="R75">
        <f t="shared" si="69"/>
        <v>2020</v>
      </c>
      <c r="S75" s="2">
        <f t="shared" si="70"/>
        <v>488656.03336324741</v>
      </c>
      <c r="T75" s="2"/>
      <c r="U75" s="2"/>
      <c r="V75" s="2"/>
      <c r="W75" s="2"/>
      <c r="X75" s="2"/>
      <c r="Y75" s="2">
        <f t="shared" si="71"/>
        <v>296065.5683424637</v>
      </c>
      <c r="Z75" s="2">
        <f t="shared" si="72"/>
        <v>784721.6017057111</v>
      </c>
      <c r="AA75" s="2">
        <f t="shared" si="73"/>
        <v>87418.302025714656</v>
      </c>
      <c r="AB75" s="83">
        <f t="shared" si="74"/>
        <v>0.12536625320119996</v>
      </c>
      <c r="AC75" s="7">
        <f t="shared" si="75"/>
        <v>1.1253662532011999</v>
      </c>
      <c r="AD75" s="2">
        <f t="shared" si="76"/>
        <v>0</v>
      </c>
      <c r="AE75" s="2"/>
      <c r="AG75">
        <f t="shared" si="77"/>
        <v>2020</v>
      </c>
      <c r="AH75" s="6">
        <f t="shared" si="78"/>
        <v>0.62271260572039766</v>
      </c>
      <c r="AI75" s="7"/>
      <c r="AJ75" s="6">
        <f t="shared" si="79"/>
        <v>0</v>
      </c>
      <c r="AK75" s="6">
        <f t="shared" si="80"/>
        <v>0</v>
      </c>
      <c r="AL75" s="7"/>
      <c r="AM75" s="6">
        <f t="shared" si="81"/>
        <v>0</v>
      </c>
      <c r="AN75" s="6">
        <f t="shared" si="82"/>
        <v>0.37728739427960234</v>
      </c>
      <c r="AO75" s="6">
        <f t="shared" si="83"/>
        <v>1</v>
      </c>
      <c r="AP75" s="7">
        <f t="shared" si="84"/>
        <v>0.62271260572039766</v>
      </c>
      <c r="AQ75" s="7">
        <f t="shared" si="85"/>
        <v>0</v>
      </c>
      <c r="AR75" s="24"/>
      <c r="AS75">
        <f t="shared" si="86"/>
        <v>2020</v>
      </c>
      <c r="AT75" s="1" t="b">
        <f t="shared" si="87"/>
        <v>0</v>
      </c>
      <c r="AV75" s="1" t="b">
        <f t="shared" si="88"/>
        <v>0</v>
      </c>
      <c r="AW75" s="1" t="b">
        <f t="shared" si="89"/>
        <v>0</v>
      </c>
      <c r="AY75" s="1" t="b">
        <f t="shared" si="90"/>
        <v>0</v>
      </c>
      <c r="AZ75" s="1" t="b">
        <f t="shared" si="91"/>
        <v>0</v>
      </c>
      <c r="BA75" s="1" t="b">
        <f t="shared" si="92"/>
        <v>1</v>
      </c>
      <c r="BC75">
        <f t="shared" si="93"/>
        <v>2020</v>
      </c>
      <c r="BD75" s="2">
        <f t="shared" si="94"/>
        <v>470832.96102342667</v>
      </c>
      <c r="BE75" s="2"/>
      <c r="BF75" s="2">
        <f t="shared" si="58"/>
        <v>0</v>
      </c>
      <c r="BG75" s="2">
        <f t="shared" si="58"/>
        <v>0</v>
      </c>
      <c r="BH75" s="2"/>
      <c r="BI75" s="2">
        <f t="shared" si="59"/>
        <v>0</v>
      </c>
      <c r="BJ75" s="2">
        <f t="shared" si="59"/>
        <v>313888.64068228443</v>
      </c>
      <c r="BK75" s="2">
        <f t="shared" si="95"/>
        <v>784721.6017057111</v>
      </c>
      <c r="BL75" s="2">
        <f t="shared" si="96"/>
        <v>0</v>
      </c>
      <c r="BM75" s="20"/>
    </row>
    <row r="76" spans="1:65" x14ac:dyDescent="0.2">
      <c r="A76" s="9" t="s">
        <v>94</v>
      </c>
      <c r="B76" s="10">
        <f>BD75</f>
        <v>470832.96102342667</v>
      </c>
      <c r="C76" s="10"/>
      <c r="D76" s="10">
        <f>BF75</f>
        <v>0</v>
      </c>
      <c r="E76" s="10">
        <f>BG75</f>
        <v>0</v>
      </c>
      <c r="F76" s="10"/>
      <c r="G76" s="10">
        <f>BI75</f>
        <v>0</v>
      </c>
      <c r="H76" s="10">
        <f>BJ75</f>
        <v>313888.64068228443</v>
      </c>
      <c r="I76" s="10">
        <f>SUM(B76:H76)</f>
        <v>784721.6017057111</v>
      </c>
      <c r="J76" s="10"/>
      <c r="K76" s="10"/>
      <c r="L76" s="74"/>
      <c r="N76" t="s">
        <v>156</v>
      </c>
      <c r="O76" s="2">
        <f>O75</f>
        <v>10971.193559132775</v>
      </c>
      <c r="P76" s="2"/>
      <c r="R76" s="9" t="s">
        <v>94</v>
      </c>
      <c r="S76" s="10">
        <f>S75</f>
        <v>488656.03336324741</v>
      </c>
      <c r="T76" s="10"/>
      <c r="U76" s="10">
        <f>U75</f>
        <v>0</v>
      </c>
      <c r="V76" s="10">
        <f>V75</f>
        <v>0</v>
      </c>
      <c r="W76" s="10"/>
      <c r="X76" s="10">
        <f>X75</f>
        <v>0</v>
      </c>
      <c r="Y76" s="10">
        <f>Y75</f>
        <v>296065.5683424637</v>
      </c>
      <c r="Z76" s="10">
        <f>SUM(S76:Y76)</f>
        <v>784721.6017057111</v>
      </c>
      <c r="AA76" s="10"/>
      <c r="AB76" s="10"/>
      <c r="AC76" s="74"/>
      <c r="AD76" s="10"/>
      <c r="AE76" s="43"/>
      <c r="AG76" s="74" t="s">
        <v>132</v>
      </c>
      <c r="AH76" s="88">
        <f>AH73</f>
        <v>0.58894354772002711</v>
      </c>
      <c r="AI76" s="74"/>
      <c r="AJ76" s="88">
        <f>AJ73</f>
        <v>0</v>
      </c>
      <c r="AK76" s="74"/>
      <c r="AL76" s="74"/>
      <c r="AM76" s="88">
        <f>AM73</f>
        <v>0</v>
      </c>
      <c r="AN76" s="88">
        <f>AN75</f>
        <v>0.37728739427960234</v>
      </c>
      <c r="AO76" s="88">
        <f>AO73</f>
        <v>1</v>
      </c>
      <c r="AP76" s="88">
        <f>AP73</f>
        <v>0.58894354772002711</v>
      </c>
      <c r="AQ76" s="88">
        <f>AQ73</f>
        <v>0</v>
      </c>
      <c r="BC76" s="21"/>
      <c r="BD76" s="22"/>
      <c r="BF76" s="22"/>
      <c r="BG76" s="22"/>
      <c r="BI76" s="22"/>
      <c r="BJ76" s="22"/>
    </row>
    <row r="77" spans="1:65" x14ac:dyDescent="0.2">
      <c r="A77" s="11" t="s">
        <v>157</v>
      </c>
      <c r="I77" s="6">
        <f>(Z76-Z42)/Z42</f>
        <v>6.8472160170571108</v>
      </c>
      <c r="K77" s="6"/>
      <c r="N77" t="s">
        <v>67</v>
      </c>
      <c r="O77" s="2">
        <f>SUM(O43:O75)</f>
        <v>267333.97642328503</v>
      </c>
      <c r="P77" s="2"/>
      <c r="AB77" s="6"/>
      <c r="AJ77" s="7"/>
      <c r="BF77" s="22"/>
    </row>
    <row r="78" spans="1:65" x14ac:dyDescent="0.2">
      <c r="A78" s="1" t="s">
        <v>158</v>
      </c>
      <c r="I78" s="12">
        <f>STDEV(AC43:AC75)</f>
        <v>0.10465886606660718</v>
      </c>
      <c r="AK78" s="89"/>
      <c r="AL78" s="89"/>
      <c r="AM78" s="90" t="s">
        <v>134</v>
      </c>
      <c r="AN78" s="89" t="b">
        <f>IF((AN75=AN76),TRUE,FALSE)</f>
        <v>1</v>
      </c>
      <c r="AO78" s="89"/>
      <c r="AP78" s="91" t="b">
        <f>IF(((SUM(AH73:AM73))=AP76),TRUE,FALSE)</f>
        <v>1</v>
      </c>
    </row>
    <row r="79" spans="1:65" x14ac:dyDescent="0.2">
      <c r="A79" s="1" t="s">
        <v>159</v>
      </c>
      <c r="I79" s="13">
        <f>((1+I77)^(1/I86))-1</f>
        <v>6.4418941243207462E-2</v>
      </c>
    </row>
    <row r="80" spans="1:65" x14ac:dyDescent="0.2">
      <c r="A80" s="1" t="s">
        <v>98</v>
      </c>
      <c r="I80" s="31">
        <f>J63</f>
        <v>-85902.110463649908</v>
      </c>
      <c r="O80" s="2"/>
      <c r="P80" s="2"/>
    </row>
    <row r="81" spans="1:26" x14ac:dyDescent="0.2">
      <c r="A81" s="1" t="s">
        <v>136</v>
      </c>
      <c r="I81" s="32">
        <f>K63</f>
        <v>-0.22005990172125856</v>
      </c>
    </row>
    <row r="82" spans="1:26" x14ac:dyDescent="0.2">
      <c r="A82" s="1" t="s">
        <v>103</v>
      </c>
      <c r="I82" s="2">
        <f>O77</f>
        <v>267333.97642328503</v>
      </c>
    </row>
    <row r="83" spans="1:26" x14ac:dyDescent="0.2">
      <c r="A83" s="3" t="s">
        <v>165</v>
      </c>
      <c r="B83" s="3"/>
      <c r="C83" s="3"/>
      <c r="D83" s="3"/>
      <c r="E83" s="3"/>
      <c r="F83" s="3"/>
      <c r="G83" s="3"/>
      <c r="H83" s="3"/>
      <c r="I83" s="33">
        <f>I76-Z76</f>
        <v>0</v>
      </c>
      <c r="Z83" s="2"/>
    </row>
    <row r="84" spans="1:26" x14ac:dyDescent="0.2">
      <c r="A84" s="3" t="s">
        <v>138</v>
      </c>
      <c r="B84" s="3"/>
      <c r="C84" s="3"/>
      <c r="D84" s="3"/>
      <c r="E84" s="3"/>
      <c r="F84" s="3"/>
      <c r="G84" s="3"/>
      <c r="H84" s="3"/>
      <c r="I84" s="33">
        <f>((SUM(AA43:AA75)))-(I76-I42)</f>
        <v>0</v>
      </c>
    </row>
    <row r="85" spans="1:26" x14ac:dyDescent="0.2">
      <c r="A85" s="3" t="s">
        <v>160</v>
      </c>
      <c r="B85" s="3"/>
      <c r="C85" s="3"/>
      <c r="D85" s="3"/>
      <c r="E85" s="3"/>
      <c r="F85" s="3"/>
      <c r="G85" s="3"/>
      <c r="H85" s="3"/>
      <c r="I85" s="33">
        <f>(SUM(O43:O75))-I82</f>
        <v>0</v>
      </c>
      <c r="Z85" s="73"/>
    </row>
    <row r="86" spans="1:26" x14ac:dyDescent="0.2">
      <c r="A86" s="3" t="s">
        <v>139</v>
      </c>
      <c r="B86" s="3"/>
      <c r="C86" s="3"/>
      <c r="D86" s="3"/>
      <c r="E86" s="3"/>
      <c r="F86" s="3"/>
      <c r="G86" s="3"/>
      <c r="H86" s="3"/>
      <c r="I86" s="75">
        <f>COUNTA(I43:I75)</f>
        <v>33</v>
      </c>
    </row>
    <row r="87" spans="1:26" x14ac:dyDescent="0.2">
      <c r="A87" s="95" t="s">
        <v>100</v>
      </c>
      <c r="B87" s="63"/>
      <c r="C87" s="63"/>
      <c r="D87" s="63"/>
      <c r="E87" s="63"/>
      <c r="G87" s="63"/>
      <c r="H87" s="63"/>
      <c r="I87" s="94">
        <f>AP76</f>
        <v>0.58894354772002711</v>
      </c>
    </row>
    <row r="88" spans="1:26" x14ac:dyDescent="0.2">
      <c r="A88" s="95" t="s">
        <v>179</v>
      </c>
      <c r="B88" s="2"/>
      <c r="D88" s="2"/>
      <c r="E88" s="2"/>
      <c r="G88" s="2"/>
      <c r="H88" s="2"/>
      <c r="I88" s="94">
        <f>AN76</f>
        <v>0.37728739427960234</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90"/>
  <sheetViews>
    <sheetView topLeftCell="A25" zoomScale="120" zoomScaleNormal="120" workbookViewId="0">
      <selection activeCell="B76" sqref="B76"/>
    </sheetView>
  </sheetViews>
  <sheetFormatPr baseColWidth="10" defaultColWidth="8.83203125" defaultRowHeight="15" x14ac:dyDescent="0.2"/>
  <cols>
    <col min="1" max="1" width="25.5" customWidth="1"/>
    <col min="2" max="2" width="10.5" customWidth="1"/>
    <col min="3"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42"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5" spans="1:42"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'4.5% Withdrawals-No Rebalancing'!N35</f>
        <v>2019</v>
      </c>
      <c r="O35" s="50">
        <f>'4.5% Withdrawals-No Rebalancing'!O35</f>
        <v>2.2862976460393248E-2</v>
      </c>
    </row>
    <row r="36" spans="1:42"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c r="N36" s="49">
        <f>'4.5% Withdrawals-No Rebalancing'!N36</f>
        <v>2020</v>
      </c>
      <c r="O36" s="50">
        <f>'4.5% Withdrawals-No Rebalancing'!O36</f>
        <v>1.1388082437623485E-2</v>
      </c>
    </row>
    <row r="39" spans="1:42" x14ac:dyDescent="0.2">
      <c r="A39" s="20" t="s">
        <v>119</v>
      </c>
      <c r="N39" s="20" t="s">
        <v>153</v>
      </c>
      <c r="R39" s="20" t="s">
        <v>175</v>
      </c>
      <c r="AF39" s="20" t="s">
        <v>155</v>
      </c>
    </row>
    <row r="40" spans="1:42"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O40" s="80">
        <v>4.4999999999999998E-2</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G40" s="4" t="str">
        <f t="shared" ref="AG40:AM41" si="2">B40</f>
        <v>LC Stocks</v>
      </c>
      <c r="AH40" s="4" t="str">
        <f t="shared" si="2"/>
        <v>Ext Mkt</v>
      </c>
      <c r="AI40" s="4" t="str">
        <f t="shared" si="2"/>
        <v>Mcap Stk</v>
      </c>
      <c r="AJ40" s="4" t="str">
        <f t="shared" si="2"/>
        <v>Small Cap</v>
      </c>
      <c r="AK40" s="4" t="str">
        <f t="shared" si="2"/>
        <v>Intl Val</v>
      </c>
      <c r="AL40" s="4" t="str">
        <f t="shared" si="2"/>
        <v>Tot Int Stk</v>
      </c>
      <c r="AM40" s="4" t="str">
        <f t="shared" si="2"/>
        <v>Bonds</v>
      </c>
      <c r="AN40" s="5"/>
      <c r="AO40" s="5" t="s">
        <v>124</v>
      </c>
      <c r="AP40" s="5" t="s">
        <v>125</v>
      </c>
    </row>
    <row r="41" spans="1:42"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F41" t="s">
        <v>126</v>
      </c>
      <c r="AG41" s="4" t="str">
        <f t="shared" si="2"/>
        <v>VFIAX</v>
      </c>
      <c r="AH41" s="4" t="str">
        <f t="shared" si="2"/>
        <v>VEXMX</v>
      </c>
      <c r="AI41" s="4" t="str">
        <f t="shared" si="2"/>
        <v>VIMAX</v>
      </c>
      <c r="AJ41" s="4" t="str">
        <f t="shared" si="2"/>
        <v>VSMAX</v>
      </c>
      <c r="AK41" s="4" t="str">
        <f t="shared" si="2"/>
        <v>VTRIX</v>
      </c>
      <c r="AL41" s="4" t="str">
        <f t="shared" si="2"/>
        <v>VTIAX</v>
      </c>
      <c r="AM41" s="4" t="str">
        <f t="shared" si="2"/>
        <v>VBTLX</v>
      </c>
      <c r="AN41" s="5" t="s">
        <v>67</v>
      </c>
      <c r="AO41" s="5" t="s">
        <v>125</v>
      </c>
      <c r="AP41" s="5" t="s">
        <v>129</v>
      </c>
    </row>
    <row r="42" spans="1:42" x14ac:dyDescent="0.2">
      <c r="A42" t="s">
        <v>130</v>
      </c>
      <c r="B42" s="2">
        <v>100000</v>
      </c>
      <c r="C42" s="2">
        <v>0</v>
      </c>
      <c r="F42" s="2">
        <v>0</v>
      </c>
      <c r="H42" s="2">
        <v>0</v>
      </c>
      <c r="I42" s="2">
        <f>SUM(B42:H42)</f>
        <v>100000</v>
      </c>
      <c r="N42" s="21"/>
      <c r="R42" t="str">
        <f>A42</f>
        <v>Stating Balance</v>
      </c>
      <c r="S42" s="2">
        <f>B42</f>
        <v>100000</v>
      </c>
      <c r="T42" s="2">
        <f t="shared" si="1"/>
        <v>0</v>
      </c>
      <c r="U42" s="2">
        <f t="shared" si="1"/>
        <v>0</v>
      </c>
      <c r="V42" s="2">
        <f t="shared" si="1"/>
        <v>0</v>
      </c>
      <c r="W42" s="2">
        <f t="shared" si="1"/>
        <v>0</v>
      </c>
      <c r="X42" s="2">
        <f t="shared" si="1"/>
        <v>0</v>
      </c>
      <c r="Y42" s="2">
        <f t="shared" si="1"/>
        <v>0</v>
      </c>
      <c r="Z42" s="2">
        <f t="shared" si="1"/>
        <v>100000</v>
      </c>
      <c r="AD42" s="2"/>
      <c r="AF42" s="21" t="s">
        <v>131</v>
      </c>
      <c r="AG42" s="6">
        <f t="shared" ref="AG42:AH57" si="3">S42/$Z42</f>
        <v>1</v>
      </c>
      <c r="AH42" s="6">
        <f t="shared" si="3"/>
        <v>0</v>
      </c>
      <c r="AI42" s="23">
        <v>0.2</v>
      </c>
      <c r="AJ42" s="23">
        <v>0.1</v>
      </c>
      <c r="AK42" s="6">
        <f t="shared" ref="AK42:AK51" si="4">W42/$Z42</f>
        <v>0</v>
      </c>
      <c r="AL42" s="23">
        <v>0.2</v>
      </c>
      <c r="AM42" s="6">
        <f>Y42/$Z42</f>
        <v>0</v>
      </c>
      <c r="AN42" s="6">
        <f>Z42/$Z42</f>
        <v>1</v>
      </c>
      <c r="AO42" s="24"/>
    </row>
    <row r="43" spans="1:42" x14ac:dyDescent="0.2">
      <c r="A43">
        <f t="shared" ref="A43:A75" si="5">A4</f>
        <v>1988</v>
      </c>
      <c r="B43" s="2">
        <f>B42*(1+(B4/100))</f>
        <v>116219.99999999999</v>
      </c>
      <c r="C43" s="2"/>
      <c r="D43" s="2"/>
      <c r="E43" s="2"/>
      <c r="F43" s="2"/>
      <c r="G43" s="2"/>
      <c r="H43" s="2"/>
      <c r="I43" s="2">
        <f>SUM(B43:H43)</f>
        <v>116219.99999999999</v>
      </c>
      <c r="J43" s="2">
        <f>I43-I42</f>
        <v>16219.999999999985</v>
      </c>
      <c r="K43" s="83">
        <f>(J43/I42)</f>
        <v>0.16219999999999984</v>
      </c>
      <c r="L43" s="7">
        <f>K43+1</f>
        <v>1.1621999999999999</v>
      </c>
      <c r="N43">
        <f>A43</f>
        <v>1988</v>
      </c>
      <c r="O43" s="2">
        <f>I43*O40</f>
        <v>5229.8999999999987</v>
      </c>
      <c r="P43" s="2"/>
      <c r="Q43" s="2"/>
      <c r="R43">
        <f>A43</f>
        <v>1988</v>
      </c>
      <c r="S43" s="2">
        <f>B43-($O43)</f>
        <v>110990.09999999999</v>
      </c>
      <c r="T43" s="2"/>
      <c r="U43" s="2"/>
      <c r="V43" s="2"/>
      <c r="W43" s="2"/>
      <c r="X43" s="2"/>
      <c r="Y43" s="2"/>
      <c r="Z43" s="2">
        <f>SUM(S43:Y43)</f>
        <v>110990.09999999999</v>
      </c>
      <c r="AA43" s="2">
        <f>Z43-Z42</f>
        <v>10990.099999999991</v>
      </c>
      <c r="AB43" s="83">
        <f>(AA43/Z42)</f>
        <v>0.10990099999999992</v>
      </c>
      <c r="AC43" s="7">
        <f>AB43+1</f>
        <v>1.1099009999999998</v>
      </c>
      <c r="AD43" s="2">
        <f>Z43-(I43-O43)</f>
        <v>0</v>
      </c>
      <c r="AF43">
        <f t="shared" ref="AF43:AF71" si="6">A43</f>
        <v>1988</v>
      </c>
      <c r="AG43" s="6">
        <f t="shared" si="3"/>
        <v>1</v>
      </c>
      <c r="AH43" s="6">
        <f t="shared" si="3"/>
        <v>0</v>
      </c>
      <c r="AI43" s="7"/>
      <c r="AJ43" s="7"/>
      <c r="AK43" s="6">
        <f t="shared" si="4"/>
        <v>0</v>
      </c>
      <c r="AL43" s="7"/>
      <c r="AM43" s="6">
        <f t="shared" ref="AM43:AM71" si="7">Y43/$Z43</f>
        <v>0</v>
      </c>
      <c r="AN43" s="6">
        <f>SUM(AG43:AM43)</f>
        <v>1</v>
      </c>
      <c r="AO43" s="7">
        <f>SUM(AG43:AL43)</f>
        <v>1</v>
      </c>
      <c r="AP43" s="7">
        <f>AN43-(AO43+AM43)</f>
        <v>0</v>
      </c>
    </row>
    <row r="44" spans="1:42" x14ac:dyDescent="0.2">
      <c r="A44">
        <f t="shared" si="5"/>
        <v>1989</v>
      </c>
      <c r="B44" s="2">
        <f t="shared" ref="B44:B75" si="8">S43*(1+(B5/100))</f>
        <v>145796.59536000001</v>
      </c>
      <c r="C44" s="2"/>
      <c r="D44" s="2"/>
      <c r="E44" s="2"/>
      <c r="F44" s="2"/>
      <c r="G44" s="2"/>
      <c r="H44" s="2"/>
      <c r="I44" s="2">
        <f t="shared" ref="I44:I67" si="9">SUM(B44:H44)</f>
        <v>145796.59536000001</v>
      </c>
      <c r="J44" s="2">
        <f t="shared" ref="J44:J71" si="10">I44-I43</f>
        <v>29576.595360000021</v>
      </c>
      <c r="K44" s="83">
        <f t="shared" ref="K44:K71" si="11">(J44/I43)</f>
        <v>0.25448800000000021</v>
      </c>
      <c r="L44" s="7">
        <f t="shared" ref="L44:L71" si="12">K44+1</f>
        <v>1.2544880000000003</v>
      </c>
      <c r="N44">
        <f t="shared" ref="N44:N71" si="13">A44</f>
        <v>1989</v>
      </c>
      <c r="O44" s="2">
        <f t="shared" ref="O44:O73" si="14">O43*(1+O5)</f>
        <v>5470.4753999999984</v>
      </c>
      <c r="P44" s="2"/>
      <c r="Q44" s="2"/>
      <c r="R44">
        <f t="shared" ref="R44:R71" si="15">A44</f>
        <v>1989</v>
      </c>
      <c r="S44" s="2">
        <f t="shared" ref="S44:S71" si="16">B44-($O44)</f>
        <v>140326.11996000001</v>
      </c>
      <c r="T44" s="2"/>
      <c r="U44" s="2"/>
      <c r="V44" s="2"/>
      <c r="W44" s="2"/>
      <c r="X44" s="2"/>
      <c r="Y44" s="2"/>
      <c r="Z44" s="2">
        <f t="shared" ref="Z44:Z71" si="17">SUM(S44:Y44)</f>
        <v>140326.11996000001</v>
      </c>
      <c r="AA44" s="2">
        <f t="shared" ref="AA44:AA58" si="18">Z44-Z43</f>
        <v>29336.01996000002</v>
      </c>
      <c r="AB44" s="83">
        <f t="shared" ref="AB44:AB58" si="19">(AA44/Z43)</f>
        <v>0.26431204188481694</v>
      </c>
      <c r="AC44" s="7">
        <f t="shared" ref="AC44:AC71" si="20">AB44+1</f>
        <v>1.2643120418848168</v>
      </c>
      <c r="AD44" s="2">
        <f t="shared" ref="AD44:AD71" si="21">Z44-(I44-O44)</f>
        <v>0</v>
      </c>
      <c r="AF44">
        <f t="shared" si="6"/>
        <v>1989</v>
      </c>
      <c r="AG44" s="6">
        <f t="shared" si="3"/>
        <v>1</v>
      </c>
      <c r="AH44" s="6">
        <f t="shared" si="3"/>
        <v>0</v>
      </c>
      <c r="AI44" s="7"/>
      <c r="AJ44" s="7"/>
      <c r="AK44" s="6">
        <f t="shared" si="4"/>
        <v>0</v>
      </c>
      <c r="AL44" s="7"/>
      <c r="AM44" s="6">
        <f t="shared" si="7"/>
        <v>0</v>
      </c>
      <c r="AN44" s="6">
        <f t="shared" ref="AN44:AN71" si="22">SUM(AG44:AM44)</f>
        <v>1</v>
      </c>
      <c r="AO44" s="7">
        <f t="shared" ref="AO44:AO71" si="23">SUM(AG44:AL44)</f>
        <v>1</v>
      </c>
      <c r="AP44" s="7">
        <f t="shared" ref="AP44:AP71" si="24">AN44-(AO44+AM44)</f>
        <v>0</v>
      </c>
    </row>
    <row r="45" spans="1:42" x14ac:dyDescent="0.2">
      <c r="A45">
        <f t="shared" si="5"/>
        <v>1990</v>
      </c>
      <c r="B45" s="2">
        <f t="shared" si="8"/>
        <v>135667.292777328</v>
      </c>
      <c r="C45" s="2"/>
      <c r="D45" s="2"/>
      <c r="E45" s="2"/>
      <c r="F45" s="2"/>
      <c r="G45" s="2"/>
      <c r="H45" s="2"/>
      <c r="I45" s="2">
        <f t="shared" ref="I45:I51" si="25">SUM(B45:H45)</f>
        <v>135667.292777328</v>
      </c>
      <c r="J45" s="2">
        <f t="shared" si="10"/>
        <v>-10129.302582672011</v>
      </c>
      <c r="K45" s="83">
        <f t="shared" si="11"/>
        <v>-6.9475576968452538E-2</v>
      </c>
      <c r="L45" s="7">
        <f t="shared" si="12"/>
        <v>0.93052442303154748</v>
      </c>
      <c r="N45">
        <f t="shared" si="13"/>
        <v>1990</v>
      </c>
      <c r="O45" s="2">
        <f t="shared" si="14"/>
        <v>5815.1153501999979</v>
      </c>
      <c r="P45" s="2"/>
      <c r="Q45" s="2"/>
      <c r="R45">
        <f t="shared" si="15"/>
        <v>1990</v>
      </c>
      <c r="S45" s="2">
        <f t="shared" si="16"/>
        <v>129852.177427128</v>
      </c>
      <c r="T45" s="2"/>
      <c r="U45" s="2"/>
      <c r="V45" s="2"/>
      <c r="W45" s="2"/>
      <c r="X45" s="2"/>
      <c r="Y45" s="2"/>
      <c r="Z45" s="2">
        <f t="shared" si="17"/>
        <v>129852.177427128</v>
      </c>
      <c r="AA45" s="2">
        <f t="shared" si="18"/>
        <v>-10473.94253287201</v>
      </c>
      <c r="AB45" s="83">
        <f t="shared" si="19"/>
        <v>-7.4640006691965896E-2</v>
      </c>
      <c r="AC45" s="7">
        <f t="shared" si="20"/>
        <v>0.92535999330803409</v>
      </c>
      <c r="AD45" s="2">
        <f t="shared" si="21"/>
        <v>0</v>
      </c>
      <c r="AF45">
        <f t="shared" si="6"/>
        <v>1990</v>
      </c>
      <c r="AG45" s="6">
        <f t="shared" si="3"/>
        <v>1</v>
      </c>
      <c r="AH45" s="6">
        <f t="shared" si="3"/>
        <v>0</v>
      </c>
      <c r="AI45" s="7"/>
      <c r="AJ45" s="7"/>
      <c r="AK45" s="6">
        <f t="shared" si="4"/>
        <v>0</v>
      </c>
      <c r="AL45" s="7"/>
      <c r="AM45" s="6">
        <f t="shared" si="7"/>
        <v>0</v>
      </c>
      <c r="AN45" s="6">
        <f t="shared" si="22"/>
        <v>1</v>
      </c>
      <c r="AO45" s="7">
        <f t="shared" si="23"/>
        <v>1</v>
      </c>
      <c r="AP45" s="7">
        <f t="shared" si="24"/>
        <v>0</v>
      </c>
    </row>
    <row r="46" spans="1:42" x14ac:dyDescent="0.2">
      <c r="A46">
        <f t="shared" si="5"/>
        <v>1991</v>
      </c>
      <c r="B46" s="2">
        <f t="shared" si="8"/>
        <v>169093.50544560608</v>
      </c>
      <c r="C46" s="2"/>
      <c r="D46" s="2"/>
      <c r="E46" s="2"/>
      <c r="F46" s="2"/>
      <c r="G46" s="2"/>
      <c r="H46" s="2"/>
      <c r="I46" s="2">
        <f t="shared" si="25"/>
        <v>169093.50544560608</v>
      </c>
      <c r="J46" s="2">
        <f t="shared" si="10"/>
        <v>33426.21266827808</v>
      </c>
      <c r="K46" s="83">
        <f t="shared" si="11"/>
        <v>0.24638372288552141</v>
      </c>
      <c r="L46" s="7">
        <f t="shared" si="12"/>
        <v>1.2463837228855215</v>
      </c>
      <c r="N46">
        <f t="shared" si="13"/>
        <v>1991</v>
      </c>
      <c r="O46" s="2">
        <f t="shared" si="14"/>
        <v>5989.5688107059977</v>
      </c>
      <c r="P46" s="2"/>
      <c r="Q46" s="2"/>
      <c r="R46">
        <f t="shared" si="15"/>
        <v>1991</v>
      </c>
      <c r="S46" s="2">
        <f t="shared" si="16"/>
        <v>163103.93663490008</v>
      </c>
      <c r="T46" s="2"/>
      <c r="U46" s="2"/>
      <c r="V46" s="2"/>
      <c r="W46" s="2"/>
      <c r="X46" s="2"/>
      <c r="Y46" s="2"/>
      <c r="Z46" s="2">
        <f t="shared" si="17"/>
        <v>163103.93663490008</v>
      </c>
      <c r="AA46" s="2">
        <f t="shared" si="18"/>
        <v>33251.759207772076</v>
      </c>
      <c r="AB46" s="83">
        <f t="shared" si="19"/>
        <v>0.25607394397704802</v>
      </c>
      <c r="AC46" s="7">
        <f t="shared" si="20"/>
        <v>1.2560739439770481</v>
      </c>
      <c r="AD46" s="2">
        <f t="shared" si="21"/>
        <v>0</v>
      </c>
      <c r="AF46">
        <f t="shared" si="6"/>
        <v>1991</v>
      </c>
      <c r="AG46" s="6">
        <f t="shared" si="3"/>
        <v>1</v>
      </c>
      <c r="AH46" s="6">
        <f t="shared" si="3"/>
        <v>0</v>
      </c>
      <c r="AI46" s="7"/>
      <c r="AJ46" s="7"/>
      <c r="AK46" s="6">
        <f t="shared" si="4"/>
        <v>0</v>
      </c>
      <c r="AL46" s="7"/>
      <c r="AM46" s="6">
        <f t="shared" si="7"/>
        <v>0</v>
      </c>
      <c r="AN46" s="6">
        <f t="shared" si="22"/>
        <v>1</v>
      </c>
      <c r="AO46" s="7">
        <f t="shared" si="23"/>
        <v>1</v>
      </c>
      <c r="AP46" s="7">
        <f t="shared" si="24"/>
        <v>0</v>
      </c>
    </row>
    <row r="47" spans="1:42" x14ac:dyDescent="0.2">
      <c r="A47">
        <f t="shared" si="5"/>
        <v>1992</v>
      </c>
      <c r="B47" s="2">
        <f t="shared" si="8"/>
        <v>175206.24873320968</v>
      </c>
      <c r="C47" s="2"/>
      <c r="D47" s="2"/>
      <c r="E47" s="2"/>
      <c r="F47" s="2"/>
      <c r="G47" s="2"/>
      <c r="H47" s="2"/>
      <c r="I47" s="2">
        <f t="shared" si="25"/>
        <v>175206.24873320968</v>
      </c>
      <c r="J47" s="2">
        <f t="shared" si="10"/>
        <v>6112.7432876036037</v>
      </c>
      <c r="K47" s="83">
        <f t="shared" si="11"/>
        <v>3.6150077269348165E-2</v>
      </c>
      <c r="L47" s="7">
        <f t="shared" si="12"/>
        <v>1.0361500772693482</v>
      </c>
      <c r="N47">
        <f t="shared" si="13"/>
        <v>1992</v>
      </c>
      <c r="O47" s="2">
        <f t="shared" si="14"/>
        <v>6169.2558750271783</v>
      </c>
      <c r="P47" s="2"/>
      <c r="Q47" s="2"/>
      <c r="R47">
        <f t="shared" si="15"/>
        <v>1992</v>
      </c>
      <c r="S47" s="2">
        <f t="shared" si="16"/>
        <v>169036.99285818249</v>
      </c>
      <c r="T47" s="2"/>
      <c r="U47" s="2"/>
      <c r="V47" s="2"/>
      <c r="W47" s="2"/>
      <c r="X47" s="2"/>
      <c r="Y47" s="2"/>
      <c r="Z47" s="2">
        <f t="shared" si="17"/>
        <v>169036.99285818249</v>
      </c>
      <c r="AA47" s="2">
        <f t="shared" si="18"/>
        <v>5933.0562232824159</v>
      </c>
      <c r="AB47" s="83">
        <f t="shared" si="19"/>
        <v>3.6375922897331797E-2</v>
      </c>
      <c r="AC47" s="7">
        <f t="shared" si="20"/>
        <v>1.0363759228973317</v>
      </c>
      <c r="AD47" s="2">
        <f t="shared" si="21"/>
        <v>0</v>
      </c>
      <c r="AF47">
        <f t="shared" si="6"/>
        <v>1992</v>
      </c>
      <c r="AG47" s="6">
        <f t="shared" si="3"/>
        <v>1</v>
      </c>
      <c r="AH47" s="6">
        <f t="shared" si="3"/>
        <v>0</v>
      </c>
      <c r="AI47" s="7"/>
      <c r="AJ47" s="7"/>
      <c r="AK47" s="6">
        <f t="shared" si="4"/>
        <v>0</v>
      </c>
      <c r="AL47" s="7"/>
      <c r="AM47" s="6">
        <f t="shared" si="7"/>
        <v>0</v>
      </c>
      <c r="AN47" s="6">
        <f t="shared" si="22"/>
        <v>1</v>
      </c>
      <c r="AO47" s="7">
        <f t="shared" si="23"/>
        <v>1</v>
      </c>
      <c r="AP47" s="7">
        <f t="shared" si="24"/>
        <v>0</v>
      </c>
    </row>
    <row r="48" spans="1:42" x14ac:dyDescent="0.2">
      <c r="A48">
        <f t="shared" si="5"/>
        <v>1993</v>
      </c>
      <c r="B48" s="2">
        <f t="shared" si="8"/>
        <v>185754.75145185675</v>
      </c>
      <c r="C48" s="2"/>
      <c r="D48" s="2"/>
      <c r="E48" s="2"/>
      <c r="F48" s="2"/>
      <c r="G48" s="2"/>
      <c r="H48" s="2"/>
      <c r="I48" s="2">
        <f t="shared" si="25"/>
        <v>185754.75145185675</v>
      </c>
      <c r="J48" s="2">
        <f t="shared" si="10"/>
        <v>10548.502718647069</v>
      </c>
      <c r="K48" s="83">
        <f t="shared" si="11"/>
        <v>6.0206201519156434E-2</v>
      </c>
      <c r="L48" s="7">
        <f t="shared" si="12"/>
        <v>1.0602062015191565</v>
      </c>
      <c r="N48">
        <f t="shared" si="13"/>
        <v>1993</v>
      </c>
      <c r="O48" s="2">
        <f t="shared" si="14"/>
        <v>6341.9950395279393</v>
      </c>
      <c r="P48" s="2"/>
      <c r="Q48" s="2"/>
      <c r="R48">
        <f t="shared" si="15"/>
        <v>1993</v>
      </c>
      <c r="S48" s="2">
        <f t="shared" si="16"/>
        <v>179412.7564123288</v>
      </c>
      <c r="T48" s="2"/>
      <c r="U48" s="2"/>
      <c r="V48" s="2"/>
      <c r="W48" s="2"/>
      <c r="X48" s="2"/>
      <c r="Y48" s="2"/>
      <c r="Z48" s="2">
        <f t="shared" si="17"/>
        <v>179412.7564123288</v>
      </c>
      <c r="AA48" s="2">
        <f t="shared" si="18"/>
        <v>10375.76355414631</v>
      </c>
      <c r="AB48" s="83">
        <f t="shared" si="19"/>
        <v>6.1381614631841545E-2</v>
      </c>
      <c r="AC48" s="7">
        <f t="shared" si="20"/>
        <v>1.0613816146318416</v>
      </c>
      <c r="AD48" s="2">
        <f t="shared" si="21"/>
        <v>0</v>
      </c>
      <c r="AF48">
        <f t="shared" si="6"/>
        <v>1993</v>
      </c>
      <c r="AG48" s="6">
        <f t="shared" si="3"/>
        <v>1</v>
      </c>
      <c r="AH48" s="6">
        <f t="shared" si="3"/>
        <v>0</v>
      </c>
      <c r="AI48" s="7"/>
      <c r="AJ48" s="7"/>
      <c r="AK48" s="6">
        <f t="shared" si="4"/>
        <v>0</v>
      </c>
      <c r="AL48" s="7"/>
      <c r="AM48" s="6">
        <f t="shared" si="7"/>
        <v>0</v>
      </c>
      <c r="AN48" s="6">
        <f t="shared" si="22"/>
        <v>1</v>
      </c>
      <c r="AO48" s="7">
        <f t="shared" si="23"/>
        <v>1</v>
      </c>
      <c r="AP48" s="7">
        <f t="shared" si="24"/>
        <v>0</v>
      </c>
    </row>
    <row r="49" spans="1:42" x14ac:dyDescent="0.2">
      <c r="A49">
        <f t="shared" si="5"/>
        <v>1994</v>
      </c>
      <c r="B49" s="2">
        <f t="shared" si="8"/>
        <v>181529.82693799428</v>
      </c>
      <c r="C49" s="2"/>
      <c r="D49" s="2"/>
      <c r="E49" s="2"/>
      <c r="F49" s="2"/>
      <c r="G49" s="2"/>
      <c r="H49" s="2"/>
      <c r="I49" s="2">
        <f t="shared" si="25"/>
        <v>181529.82693799428</v>
      </c>
      <c r="J49" s="2">
        <f t="shared" si="10"/>
        <v>-4224.9245138624683</v>
      </c>
      <c r="K49" s="83">
        <f t="shared" si="11"/>
        <v>-2.2744637651745177E-2</v>
      </c>
      <c r="L49" s="7">
        <f t="shared" si="12"/>
        <v>0.97725536234825483</v>
      </c>
      <c r="N49">
        <f t="shared" si="13"/>
        <v>1994</v>
      </c>
      <c r="O49" s="2">
        <f t="shared" si="14"/>
        <v>6506.886910555666</v>
      </c>
      <c r="P49" s="2"/>
      <c r="Q49" s="2"/>
      <c r="R49">
        <f t="shared" si="15"/>
        <v>1994</v>
      </c>
      <c r="S49" s="2">
        <f t="shared" si="16"/>
        <v>175022.94002743863</v>
      </c>
      <c r="T49" s="2"/>
      <c r="U49" s="2"/>
      <c r="V49" s="2"/>
      <c r="W49" s="2"/>
      <c r="X49" s="2"/>
      <c r="Y49" s="2"/>
      <c r="Z49" s="2">
        <f t="shared" si="17"/>
        <v>175022.94002743863</v>
      </c>
      <c r="AA49" s="2">
        <f t="shared" si="18"/>
        <v>-4389.816384890175</v>
      </c>
      <c r="AB49" s="83">
        <f t="shared" si="19"/>
        <v>-2.4467693784278304E-2</v>
      </c>
      <c r="AC49" s="7">
        <f t="shared" si="20"/>
        <v>0.97553230621572173</v>
      </c>
      <c r="AD49" s="2">
        <f t="shared" si="21"/>
        <v>0</v>
      </c>
      <c r="AF49">
        <f t="shared" si="6"/>
        <v>1994</v>
      </c>
      <c r="AG49" s="6">
        <f t="shared" si="3"/>
        <v>1</v>
      </c>
      <c r="AH49" s="6">
        <f t="shared" si="3"/>
        <v>0</v>
      </c>
      <c r="AI49" s="7"/>
      <c r="AJ49" s="7"/>
      <c r="AK49" s="6">
        <f t="shared" si="4"/>
        <v>0</v>
      </c>
      <c r="AL49" s="7"/>
      <c r="AM49" s="6">
        <f t="shared" si="7"/>
        <v>0</v>
      </c>
      <c r="AN49" s="6">
        <f t="shared" si="22"/>
        <v>1</v>
      </c>
      <c r="AO49" s="7">
        <f t="shared" si="23"/>
        <v>1</v>
      </c>
      <c r="AP49" s="7">
        <f t="shared" si="24"/>
        <v>0</v>
      </c>
    </row>
    <row r="50" spans="1:42" x14ac:dyDescent="0.2">
      <c r="A50">
        <f t="shared" si="5"/>
        <v>1995</v>
      </c>
      <c r="B50" s="2">
        <f t="shared" si="8"/>
        <v>240569.03106771442</v>
      </c>
      <c r="C50" s="2"/>
      <c r="D50" s="2"/>
      <c r="E50" s="2"/>
      <c r="F50" s="2"/>
      <c r="G50" s="2"/>
      <c r="H50" s="2"/>
      <c r="I50" s="2">
        <f t="shared" si="25"/>
        <v>240569.03106771442</v>
      </c>
      <c r="J50" s="2">
        <f t="shared" si="10"/>
        <v>59039.204129720136</v>
      </c>
      <c r="K50" s="83">
        <f t="shared" si="11"/>
        <v>0.32523142408925637</v>
      </c>
      <c r="L50" s="7">
        <f t="shared" si="12"/>
        <v>1.3252314240892564</v>
      </c>
      <c r="N50">
        <f t="shared" si="13"/>
        <v>1995</v>
      </c>
      <c r="O50" s="2">
        <f t="shared" si="14"/>
        <v>6669.5590833195574</v>
      </c>
      <c r="P50" s="2"/>
      <c r="Q50" s="2"/>
      <c r="R50">
        <f t="shared" si="15"/>
        <v>1995</v>
      </c>
      <c r="S50" s="2">
        <f t="shared" si="16"/>
        <v>233899.47198439486</v>
      </c>
      <c r="T50" s="2"/>
      <c r="U50" s="2"/>
      <c r="V50" s="2"/>
      <c r="W50" s="2"/>
      <c r="X50" s="2"/>
      <c r="Y50" s="2"/>
      <c r="Z50" s="2">
        <f t="shared" si="17"/>
        <v>233899.47198439486</v>
      </c>
      <c r="AA50" s="2">
        <f t="shared" si="18"/>
        <v>58876.531956956227</v>
      </c>
      <c r="AB50" s="83">
        <f t="shared" si="19"/>
        <v>0.3363932290688641</v>
      </c>
      <c r="AC50" s="7">
        <f t="shared" si="20"/>
        <v>1.336393229068864</v>
      </c>
      <c r="AD50" s="2">
        <f t="shared" si="21"/>
        <v>0</v>
      </c>
      <c r="AF50">
        <f t="shared" si="6"/>
        <v>1995</v>
      </c>
      <c r="AG50" s="6">
        <f t="shared" si="3"/>
        <v>1</v>
      </c>
      <c r="AH50" s="6">
        <f t="shared" si="3"/>
        <v>0</v>
      </c>
      <c r="AI50" s="7"/>
      <c r="AJ50" s="7"/>
      <c r="AK50" s="6">
        <f t="shared" si="4"/>
        <v>0</v>
      </c>
      <c r="AL50" s="7"/>
      <c r="AM50" s="6">
        <f t="shared" si="7"/>
        <v>0</v>
      </c>
      <c r="AN50" s="6">
        <f t="shared" si="22"/>
        <v>1</v>
      </c>
      <c r="AO50" s="7">
        <f t="shared" si="23"/>
        <v>1</v>
      </c>
      <c r="AP50" s="7">
        <f t="shared" si="24"/>
        <v>0</v>
      </c>
    </row>
    <row r="51" spans="1:42" x14ac:dyDescent="0.2">
      <c r="A51">
        <f t="shared" si="5"/>
        <v>1996</v>
      </c>
      <c r="B51" s="2">
        <f t="shared" si="8"/>
        <v>287415.67117442441</v>
      </c>
      <c r="C51" s="2"/>
      <c r="D51" s="2"/>
      <c r="E51" s="2"/>
      <c r="F51" s="2"/>
      <c r="G51" s="2"/>
      <c r="H51" s="2"/>
      <c r="I51" s="2">
        <f t="shared" si="25"/>
        <v>287415.67117442441</v>
      </c>
      <c r="J51" s="2">
        <f t="shared" si="10"/>
        <v>46846.640106709994</v>
      </c>
      <c r="K51" s="83">
        <f t="shared" si="11"/>
        <v>0.1947326299598546</v>
      </c>
      <c r="L51" s="7">
        <f t="shared" si="12"/>
        <v>1.1947326299598546</v>
      </c>
      <c r="N51">
        <f t="shared" si="13"/>
        <v>1996</v>
      </c>
      <c r="O51" s="2">
        <f t="shared" si="14"/>
        <v>6896.324092152423</v>
      </c>
      <c r="P51" s="2"/>
      <c r="Q51" s="2"/>
      <c r="R51">
        <f t="shared" si="15"/>
        <v>1996</v>
      </c>
      <c r="S51" s="2">
        <f t="shared" si="16"/>
        <v>280519.347082272</v>
      </c>
      <c r="T51" s="2"/>
      <c r="U51" s="2"/>
      <c r="V51" s="2"/>
      <c r="W51" s="2"/>
      <c r="X51" s="2"/>
      <c r="Y51" s="2"/>
      <c r="Z51" s="2">
        <f t="shared" si="17"/>
        <v>280519.347082272</v>
      </c>
      <c r="AA51" s="2">
        <f t="shared" si="18"/>
        <v>46619.875097877142</v>
      </c>
      <c r="AB51" s="83">
        <f t="shared" si="19"/>
        <v>0.19931586293186457</v>
      </c>
      <c r="AC51" s="7">
        <f t="shared" si="20"/>
        <v>1.1993158629318645</v>
      </c>
      <c r="AD51" s="2">
        <f t="shared" si="21"/>
        <v>0</v>
      </c>
      <c r="AF51">
        <f t="shared" si="6"/>
        <v>1996</v>
      </c>
      <c r="AG51" s="6">
        <f t="shared" si="3"/>
        <v>1</v>
      </c>
      <c r="AH51" s="6">
        <f t="shared" si="3"/>
        <v>0</v>
      </c>
      <c r="AI51" s="7"/>
      <c r="AJ51" s="7"/>
      <c r="AK51" s="6">
        <f t="shared" si="4"/>
        <v>0</v>
      </c>
      <c r="AL51" s="6"/>
      <c r="AM51" s="6">
        <f t="shared" si="7"/>
        <v>0</v>
      </c>
      <c r="AN51" s="6">
        <f t="shared" si="22"/>
        <v>1</v>
      </c>
      <c r="AO51" s="7">
        <f t="shared" si="23"/>
        <v>1</v>
      </c>
      <c r="AP51" s="7">
        <f t="shared" si="24"/>
        <v>0</v>
      </c>
    </row>
    <row r="52" spans="1:42" x14ac:dyDescent="0.2">
      <c r="A52">
        <f t="shared" si="5"/>
        <v>1997</v>
      </c>
      <c r="B52" s="2">
        <f t="shared" si="8"/>
        <v>373623.71837887808</v>
      </c>
      <c r="C52" s="2"/>
      <c r="D52" s="2"/>
      <c r="E52" s="2"/>
      <c r="F52" s="2"/>
      <c r="G52" s="2"/>
      <c r="H52" s="2"/>
      <c r="I52" s="2">
        <f t="shared" si="9"/>
        <v>373623.71837887808</v>
      </c>
      <c r="J52" s="2">
        <f>I52-I51</f>
        <v>86208.047204453673</v>
      </c>
      <c r="K52" s="83">
        <f>(J52/I51)</f>
        <v>0.29994205553300002</v>
      </c>
      <c r="L52" s="7">
        <f t="shared" si="12"/>
        <v>1.2999420555330001</v>
      </c>
      <c r="N52">
        <f t="shared" si="13"/>
        <v>1997</v>
      </c>
      <c r="O52" s="2">
        <f t="shared" si="14"/>
        <v>7013.5616017190132</v>
      </c>
      <c r="P52" s="2"/>
      <c r="Q52" s="2"/>
      <c r="R52">
        <f t="shared" si="15"/>
        <v>1997</v>
      </c>
      <c r="S52" s="2">
        <f t="shared" si="16"/>
        <v>366610.15677715908</v>
      </c>
      <c r="T52" s="2"/>
      <c r="U52" s="2"/>
      <c r="V52" s="2"/>
      <c r="W52" s="2"/>
      <c r="X52" s="2"/>
      <c r="Y52" s="2"/>
      <c r="Z52" s="2">
        <f t="shared" si="17"/>
        <v>366610.15677715908</v>
      </c>
      <c r="AA52" s="2">
        <f>Z52-Z51</f>
        <v>86090.809694887081</v>
      </c>
      <c r="AB52" s="83">
        <f>(AA52/Z51)</f>
        <v>0.30689793980462238</v>
      </c>
      <c r="AC52" s="7">
        <f t="shared" si="20"/>
        <v>1.3068979398046223</v>
      </c>
      <c r="AD52" s="2">
        <f t="shared" si="21"/>
        <v>0</v>
      </c>
      <c r="AF52">
        <f t="shared" si="6"/>
        <v>1997</v>
      </c>
      <c r="AG52" s="6">
        <f t="shared" si="3"/>
        <v>1</v>
      </c>
      <c r="AH52" s="6">
        <f t="shared" si="3"/>
        <v>0</v>
      </c>
      <c r="AI52" s="7"/>
      <c r="AJ52" s="7"/>
      <c r="AK52" s="6"/>
      <c r="AL52" s="6">
        <f t="shared" ref="AL52:AL71" si="26">X52/$Z52</f>
        <v>0</v>
      </c>
      <c r="AM52" s="6">
        <f t="shared" si="7"/>
        <v>0</v>
      </c>
      <c r="AN52" s="6">
        <f t="shared" si="22"/>
        <v>1</v>
      </c>
      <c r="AO52" s="7">
        <f t="shared" si="23"/>
        <v>1</v>
      </c>
      <c r="AP52" s="7">
        <f t="shared" si="24"/>
        <v>0</v>
      </c>
    </row>
    <row r="53" spans="1:42" x14ac:dyDescent="0.2">
      <c r="A53">
        <f t="shared" si="5"/>
        <v>1998</v>
      </c>
      <c r="B53" s="2">
        <f t="shared" si="8"/>
        <v>471680.62770949287</v>
      </c>
      <c r="C53" s="2"/>
      <c r="D53" s="2"/>
      <c r="E53" s="2"/>
      <c r="F53" s="2"/>
      <c r="G53" s="2"/>
      <c r="H53" s="2"/>
      <c r="I53" s="2">
        <f t="shared" si="9"/>
        <v>471680.62770949287</v>
      </c>
      <c r="J53" s="2">
        <f>I53-I52</f>
        <v>98056.909330614784</v>
      </c>
      <c r="K53" s="83">
        <f>(J53/I52)</f>
        <v>0.26244829893582633</v>
      </c>
      <c r="L53" s="7">
        <f t="shared" si="12"/>
        <v>1.2624482989358263</v>
      </c>
      <c r="N53">
        <f t="shared" si="13"/>
        <v>1998</v>
      </c>
      <c r="O53" s="2">
        <f t="shared" si="14"/>
        <v>7125.7785873465173</v>
      </c>
      <c r="P53" s="2"/>
      <c r="Q53" s="2"/>
      <c r="R53">
        <f t="shared" si="15"/>
        <v>1998</v>
      </c>
      <c r="S53" s="2">
        <f t="shared" si="16"/>
        <v>464554.84912214638</v>
      </c>
      <c r="T53" s="2"/>
      <c r="U53" s="2"/>
      <c r="V53" s="2"/>
      <c r="W53" s="2"/>
      <c r="X53" s="2"/>
      <c r="Y53" s="2"/>
      <c r="Z53" s="2">
        <f t="shared" si="17"/>
        <v>464554.84912214638</v>
      </c>
      <c r="AA53" s="2">
        <f>Z53-Z52</f>
        <v>97944.692344987299</v>
      </c>
      <c r="AB53" s="83">
        <f>(AA53/Z52)</f>
        <v>0.2671630628185846</v>
      </c>
      <c r="AC53" s="7">
        <f t="shared" si="20"/>
        <v>1.2671630628185846</v>
      </c>
      <c r="AD53" s="2">
        <f t="shared" si="21"/>
        <v>0</v>
      </c>
      <c r="AF53">
        <f t="shared" si="6"/>
        <v>1998</v>
      </c>
      <c r="AG53" s="6">
        <f t="shared" si="3"/>
        <v>1</v>
      </c>
      <c r="AH53" s="6">
        <f t="shared" si="3"/>
        <v>0</v>
      </c>
      <c r="AI53" s="7"/>
      <c r="AJ53" s="7"/>
      <c r="AK53" s="7"/>
      <c r="AL53" s="6">
        <f t="shared" si="26"/>
        <v>0</v>
      </c>
      <c r="AM53" s="6">
        <f t="shared" si="7"/>
        <v>0</v>
      </c>
      <c r="AN53" s="6">
        <f t="shared" si="22"/>
        <v>1</v>
      </c>
      <c r="AO53" s="7">
        <f t="shared" si="23"/>
        <v>1</v>
      </c>
      <c r="AP53" s="7">
        <f t="shared" si="24"/>
        <v>0</v>
      </c>
    </row>
    <row r="54" spans="1:42" x14ac:dyDescent="0.2">
      <c r="A54">
        <f t="shared" si="5"/>
        <v>1999</v>
      </c>
      <c r="B54" s="2">
        <f t="shared" si="8"/>
        <v>562436.55583218264</v>
      </c>
      <c r="C54" s="2"/>
      <c r="D54" s="2"/>
      <c r="E54" s="2"/>
      <c r="F54" s="2"/>
      <c r="G54" s="2"/>
      <c r="H54" s="2"/>
      <c r="I54" s="2">
        <f t="shared" si="9"/>
        <v>562436.55583218264</v>
      </c>
      <c r="J54" s="2">
        <f t="shared" si="10"/>
        <v>90755.928122689773</v>
      </c>
      <c r="K54" s="83">
        <f t="shared" si="11"/>
        <v>0.19240970010450834</v>
      </c>
      <c r="L54" s="7">
        <f t="shared" si="12"/>
        <v>1.1924097001045084</v>
      </c>
      <c r="N54">
        <f t="shared" si="13"/>
        <v>1999</v>
      </c>
      <c r="O54" s="2">
        <f t="shared" si="14"/>
        <v>7318.1746092048725</v>
      </c>
      <c r="P54" s="2"/>
      <c r="Q54" s="2"/>
      <c r="R54">
        <f t="shared" si="15"/>
        <v>1999</v>
      </c>
      <c r="S54" s="2">
        <f t="shared" si="16"/>
        <v>555118.38122297777</v>
      </c>
      <c r="T54" s="2"/>
      <c r="U54" s="2"/>
      <c r="V54" s="2"/>
      <c r="W54" s="2"/>
      <c r="X54" s="2"/>
      <c r="Y54" s="2"/>
      <c r="Z54" s="2">
        <f t="shared" si="17"/>
        <v>555118.38122297777</v>
      </c>
      <c r="AA54" s="2">
        <f t="shared" si="18"/>
        <v>90563.532100831391</v>
      </c>
      <c r="AB54" s="83">
        <f t="shared" si="19"/>
        <v>0.19494690943807011</v>
      </c>
      <c r="AC54" s="7">
        <f t="shared" si="20"/>
        <v>1.19494690943807</v>
      </c>
      <c r="AD54" s="2">
        <f t="shared" si="21"/>
        <v>0</v>
      </c>
      <c r="AF54">
        <f t="shared" si="6"/>
        <v>1999</v>
      </c>
      <c r="AG54" s="6">
        <f t="shared" si="3"/>
        <v>1</v>
      </c>
      <c r="AH54" s="7"/>
      <c r="AI54" s="6">
        <f>U54/$Z54</f>
        <v>0</v>
      </c>
      <c r="AJ54" s="6">
        <f>V54/$Z54</f>
        <v>0</v>
      </c>
      <c r="AK54" s="7"/>
      <c r="AL54" s="6">
        <f t="shared" si="26"/>
        <v>0</v>
      </c>
      <c r="AM54" s="6">
        <f t="shared" si="7"/>
        <v>0</v>
      </c>
      <c r="AN54" s="6">
        <f t="shared" si="22"/>
        <v>1</v>
      </c>
      <c r="AO54" s="7">
        <f t="shared" si="23"/>
        <v>1</v>
      </c>
      <c r="AP54" s="7">
        <f t="shared" si="24"/>
        <v>0</v>
      </c>
    </row>
    <row r="55" spans="1:42" x14ac:dyDescent="0.2">
      <c r="A55">
        <f t="shared" si="5"/>
        <v>2000</v>
      </c>
      <c r="B55" s="2">
        <f t="shared" si="8"/>
        <v>504824.65588417597</v>
      </c>
      <c r="C55" s="2"/>
      <c r="D55" s="2"/>
      <c r="E55" s="2"/>
      <c r="F55" s="2"/>
      <c r="G55" s="2"/>
      <c r="H55" s="2"/>
      <c r="I55" s="2">
        <f t="shared" si="9"/>
        <v>504824.65588417597</v>
      </c>
      <c r="J55" s="2">
        <f t="shared" si="10"/>
        <v>-57611.89994800667</v>
      </c>
      <c r="K55" s="83">
        <f t="shared" si="11"/>
        <v>-0.10243270881062122</v>
      </c>
      <c r="L55" s="7">
        <f t="shared" si="12"/>
        <v>0.89756729118937884</v>
      </c>
      <c r="N55">
        <f t="shared" si="13"/>
        <v>2000</v>
      </c>
      <c r="O55" s="2">
        <f t="shared" si="14"/>
        <v>7566.9925459178385</v>
      </c>
      <c r="P55" s="2"/>
      <c r="Q55" s="2"/>
      <c r="R55">
        <f t="shared" si="15"/>
        <v>2000</v>
      </c>
      <c r="S55" s="2">
        <f t="shared" si="16"/>
        <v>497257.66333825811</v>
      </c>
      <c r="T55" s="2"/>
      <c r="U55" s="2"/>
      <c r="V55" s="2"/>
      <c r="W55" s="2"/>
      <c r="X55" s="2"/>
      <c r="Y55" s="2"/>
      <c r="Z55" s="2">
        <f t="shared" si="17"/>
        <v>497257.66333825811</v>
      </c>
      <c r="AA55" s="2">
        <f t="shared" si="18"/>
        <v>-57860.717884719663</v>
      </c>
      <c r="AB55" s="83">
        <f t="shared" si="19"/>
        <v>-0.10423131325114308</v>
      </c>
      <c r="AC55" s="7">
        <f t="shared" si="20"/>
        <v>0.8957686867488569</v>
      </c>
      <c r="AD55" s="2">
        <f t="shared" si="21"/>
        <v>0</v>
      </c>
      <c r="AF55">
        <f t="shared" si="6"/>
        <v>2000</v>
      </c>
      <c r="AG55" s="6">
        <f t="shared" si="3"/>
        <v>1</v>
      </c>
      <c r="AH55" s="7"/>
      <c r="AI55" s="6">
        <f t="shared" ref="AI55:AJ70" si="27">U55/$Z55</f>
        <v>0</v>
      </c>
      <c r="AJ55" s="6">
        <f t="shared" si="27"/>
        <v>0</v>
      </c>
      <c r="AK55" s="7"/>
      <c r="AL55" s="6">
        <f t="shared" si="26"/>
        <v>0</v>
      </c>
      <c r="AM55" s="6">
        <f t="shared" si="7"/>
        <v>0</v>
      </c>
      <c r="AN55" s="6">
        <f t="shared" si="22"/>
        <v>1</v>
      </c>
      <c r="AO55" s="7">
        <f t="shared" si="23"/>
        <v>1</v>
      </c>
      <c r="AP55" s="7">
        <f t="shared" si="24"/>
        <v>0</v>
      </c>
    </row>
    <row r="56" spans="1:42" x14ac:dyDescent="0.2">
      <c r="A56">
        <f t="shared" si="5"/>
        <v>2001</v>
      </c>
      <c r="B56" s="2">
        <f t="shared" si="8"/>
        <v>437487.29220499948</v>
      </c>
      <c r="C56" s="2"/>
      <c r="D56" s="2"/>
      <c r="E56" s="2"/>
      <c r="F56" s="2"/>
      <c r="G56" s="2"/>
      <c r="H56" s="2"/>
      <c r="I56" s="2">
        <f t="shared" si="9"/>
        <v>437487.29220499948</v>
      </c>
      <c r="J56" s="2">
        <f t="shared" si="10"/>
        <v>-67337.363679176487</v>
      </c>
      <c r="K56" s="83">
        <f t="shared" si="11"/>
        <v>-0.1333876285444861</v>
      </c>
      <c r="L56" s="7">
        <f t="shared" si="12"/>
        <v>0.86661237145551384</v>
      </c>
      <c r="N56">
        <f t="shared" si="13"/>
        <v>2001</v>
      </c>
      <c r="O56" s="2">
        <f t="shared" si="14"/>
        <v>7688.0644266525242</v>
      </c>
      <c r="P56" s="2"/>
      <c r="Q56" s="2"/>
      <c r="R56">
        <f t="shared" si="15"/>
        <v>2001</v>
      </c>
      <c r="S56" s="2">
        <f t="shared" si="16"/>
        <v>429799.22777834698</v>
      </c>
      <c r="T56" s="2"/>
      <c r="U56" s="2"/>
      <c r="V56" s="2"/>
      <c r="W56" s="2"/>
      <c r="X56" s="2"/>
      <c r="Y56" s="2"/>
      <c r="Z56" s="2">
        <f t="shared" si="17"/>
        <v>429799.22777834698</v>
      </c>
      <c r="AA56" s="2">
        <f t="shared" si="18"/>
        <v>-67458.43555991113</v>
      </c>
      <c r="AB56" s="83">
        <f t="shared" si="19"/>
        <v>-0.13566092698710752</v>
      </c>
      <c r="AC56" s="7">
        <f t="shared" si="20"/>
        <v>0.86433907301289248</v>
      </c>
      <c r="AD56" s="2">
        <f t="shared" si="21"/>
        <v>0</v>
      </c>
      <c r="AF56">
        <f t="shared" si="6"/>
        <v>2001</v>
      </c>
      <c r="AG56" s="6">
        <f t="shared" si="3"/>
        <v>1</v>
      </c>
      <c r="AH56" s="7"/>
      <c r="AI56" s="6">
        <f t="shared" si="27"/>
        <v>0</v>
      </c>
      <c r="AJ56" s="6">
        <f t="shared" si="27"/>
        <v>0</v>
      </c>
      <c r="AK56" s="7"/>
      <c r="AL56" s="6">
        <f t="shared" si="26"/>
        <v>0</v>
      </c>
      <c r="AM56" s="6">
        <f t="shared" si="7"/>
        <v>0</v>
      </c>
      <c r="AN56" s="6">
        <f t="shared" si="22"/>
        <v>1</v>
      </c>
      <c r="AO56" s="7">
        <f t="shared" si="23"/>
        <v>1</v>
      </c>
      <c r="AP56" s="7">
        <f t="shared" si="24"/>
        <v>0</v>
      </c>
    </row>
    <row r="57" spans="1:42" x14ac:dyDescent="0.2">
      <c r="A57">
        <f t="shared" si="5"/>
        <v>2002</v>
      </c>
      <c r="B57" s="2">
        <f t="shared" si="8"/>
        <v>334598.69882544311</v>
      </c>
      <c r="C57" s="2"/>
      <c r="D57" s="2"/>
      <c r="E57" s="2"/>
      <c r="F57" s="2"/>
      <c r="G57" s="2"/>
      <c r="H57" s="2"/>
      <c r="I57" s="2">
        <f t="shared" si="9"/>
        <v>334598.69882544311</v>
      </c>
      <c r="J57" s="2">
        <f t="shared" si="10"/>
        <v>-102888.59337955638</v>
      </c>
      <c r="K57" s="83">
        <f t="shared" si="11"/>
        <v>-0.23518075887640741</v>
      </c>
      <c r="L57" s="7">
        <f t="shared" si="12"/>
        <v>0.76481924112359256</v>
      </c>
      <c r="N57">
        <f t="shared" si="13"/>
        <v>2002</v>
      </c>
      <c r="O57" s="2">
        <f t="shared" si="14"/>
        <v>7880.2660373188364</v>
      </c>
      <c r="P57" s="2"/>
      <c r="Q57" s="2"/>
      <c r="R57">
        <f t="shared" si="15"/>
        <v>2002</v>
      </c>
      <c r="S57" s="2">
        <f t="shared" si="16"/>
        <v>326718.43278812425</v>
      </c>
      <c r="T57" s="2"/>
      <c r="U57" s="2"/>
      <c r="V57" s="2"/>
      <c r="W57" s="2"/>
      <c r="X57" s="2"/>
      <c r="Y57" s="2"/>
      <c r="Z57" s="2">
        <f t="shared" si="17"/>
        <v>326718.43278812425</v>
      </c>
      <c r="AA57" s="2">
        <f t="shared" si="18"/>
        <v>-103080.79499022273</v>
      </c>
      <c r="AB57" s="83">
        <f t="shared" si="19"/>
        <v>-0.23983476080925586</v>
      </c>
      <c r="AC57" s="7">
        <f t="shared" si="20"/>
        <v>0.76016523919074408</v>
      </c>
      <c r="AD57" s="2">
        <f t="shared" si="21"/>
        <v>0</v>
      </c>
      <c r="AF57">
        <f t="shared" si="6"/>
        <v>2002</v>
      </c>
      <c r="AG57" s="6">
        <f t="shared" si="3"/>
        <v>1</v>
      </c>
      <c r="AH57" s="7"/>
      <c r="AI57" s="6">
        <f t="shared" si="27"/>
        <v>0</v>
      </c>
      <c r="AJ57" s="6">
        <f t="shared" si="27"/>
        <v>0</v>
      </c>
      <c r="AK57" s="7"/>
      <c r="AL57" s="6">
        <f t="shared" si="26"/>
        <v>0</v>
      </c>
      <c r="AM57" s="6">
        <f t="shared" si="7"/>
        <v>0</v>
      </c>
      <c r="AN57" s="6">
        <f t="shared" si="22"/>
        <v>1</v>
      </c>
      <c r="AO57" s="7">
        <f t="shared" si="23"/>
        <v>1</v>
      </c>
      <c r="AP57" s="7">
        <f t="shared" si="24"/>
        <v>0</v>
      </c>
    </row>
    <row r="58" spans="1:42" x14ac:dyDescent="0.2">
      <c r="A58">
        <f t="shared" si="5"/>
        <v>2003</v>
      </c>
      <c r="B58" s="2">
        <f t="shared" si="8"/>
        <v>419833.18613273965</v>
      </c>
      <c r="C58" s="2"/>
      <c r="D58" s="2"/>
      <c r="E58" s="2"/>
      <c r="F58" s="2"/>
      <c r="G58" s="2"/>
      <c r="H58" s="2"/>
      <c r="I58" s="2">
        <f t="shared" si="9"/>
        <v>419833.18613273965</v>
      </c>
      <c r="J58" s="2">
        <f t="shared" si="10"/>
        <v>85234.487307296542</v>
      </c>
      <c r="K58" s="83">
        <f t="shared" si="11"/>
        <v>0.25473645775222381</v>
      </c>
      <c r="L58" s="7">
        <f t="shared" si="12"/>
        <v>1.2547364577522238</v>
      </c>
      <c r="N58">
        <f t="shared" si="13"/>
        <v>2003</v>
      </c>
      <c r="O58" s="2">
        <f t="shared" si="14"/>
        <v>8037.8713580652129</v>
      </c>
      <c r="P58" s="2"/>
      <c r="Q58" s="2"/>
      <c r="R58">
        <f t="shared" si="15"/>
        <v>2003</v>
      </c>
      <c r="S58" s="2">
        <f t="shared" si="16"/>
        <v>411795.31477467442</v>
      </c>
      <c r="T58" s="2"/>
      <c r="U58" s="2"/>
      <c r="V58" s="2"/>
      <c r="W58" s="2"/>
      <c r="X58" s="2"/>
      <c r="Y58" s="2"/>
      <c r="Z58" s="2">
        <f t="shared" si="17"/>
        <v>411795.31477467442</v>
      </c>
      <c r="AA58" s="2">
        <f t="shared" si="18"/>
        <v>85076.881986550172</v>
      </c>
      <c r="AB58" s="83">
        <f t="shared" si="19"/>
        <v>0.26039816994874676</v>
      </c>
      <c r="AC58" s="7">
        <f t="shared" si="20"/>
        <v>1.2603981699487468</v>
      </c>
      <c r="AD58" s="2">
        <f t="shared" si="21"/>
        <v>0</v>
      </c>
      <c r="AF58">
        <f t="shared" si="6"/>
        <v>2003</v>
      </c>
      <c r="AG58" s="6">
        <f t="shared" ref="AG58:AG71" si="28">S58/$Z58</f>
        <v>1</v>
      </c>
      <c r="AH58" s="7"/>
      <c r="AI58" s="6">
        <f t="shared" si="27"/>
        <v>0</v>
      </c>
      <c r="AJ58" s="6">
        <f t="shared" si="27"/>
        <v>0</v>
      </c>
      <c r="AK58" s="7"/>
      <c r="AL58" s="6">
        <f t="shared" si="26"/>
        <v>0</v>
      </c>
      <c r="AM58" s="6">
        <f t="shared" si="7"/>
        <v>0</v>
      </c>
      <c r="AN58" s="6">
        <f t="shared" si="22"/>
        <v>1</v>
      </c>
      <c r="AO58" s="7">
        <f t="shared" si="23"/>
        <v>1</v>
      </c>
      <c r="AP58" s="7">
        <f t="shared" si="24"/>
        <v>0</v>
      </c>
    </row>
    <row r="59" spans="1:42" x14ac:dyDescent="0.2">
      <c r="A59">
        <f t="shared" si="5"/>
        <v>2004</v>
      </c>
      <c r="B59" s="2">
        <f t="shared" si="8"/>
        <v>456022.13158147444</v>
      </c>
      <c r="C59" s="2"/>
      <c r="D59" s="2"/>
      <c r="E59" s="2"/>
      <c r="F59" s="2"/>
      <c r="G59" s="2"/>
      <c r="H59" s="2"/>
      <c r="I59" s="2">
        <f t="shared" si="9"/>
        <v>456022.13158147444</v>
      </c>
      <c r="J59" s="2">
        <f>I59-I58</f>
        <v>36188.945448734798</v>
      </c>
      <c r="K59" s="83">
        <f>(J59/I58)</f>
        <v>8.6198391751939427E-2</v>
      </c>
      <c r="L59" s="7">
        <f t="shared" si="12"/>
        <v>1.0861983917519393</v>
      </c>
      <c r="N59">
        <f t="shared" si="13"/>
        <v>2004</v>
      </c>
      <c r="O59" s="2">
        <f t="shared" si="14"/>
        <v>8303.1211128813648</v>
      </c>
      <c r="P59" s="2"/>
      <c r="Q59" s="2"/>
      <c r="R59">
        <f t="shared" si="15"/>
        <v>2004</v>
      </c>
      <c r="S59" s="2">
        <f t="shared" si="16"/>
        <v>447719.0104685931</v>
      </c>
      <c r="T59" s="2"/>
      <c r="U59" s="2"/>
      <c r="V59" s="2"/>
      <c r="W59" s="2"/>
      <c r="X59" s="2"/>
      <c r="Y59" s="2"/>
      <c r="Z59" s="2">
        <f t="shared" si="17"/>
        <v>447719.0104685931</v>
      </c>
      <c r="AA59" s="2">
        <f>Z59-Z58</f>
        <v>35923.695693918678</v>
      </c>
      <c r="AB59" s="83">
        <f>(AA59/Z58)</f>
        <v>8.7236776148304052E-2</v>
      </c>
      <c r="AC59" s="7">
        <f t="shared" si="20"/>
        <v>1.0872367761483042</v>
      </c>
      <c r="AD59" s="2">
        <f t="shared" si="21"/>
        <v>0</v>
      </c>
      <c r="AF59">
        <f t="shared" si="6"/>
        <v>2004</v>
      </c>
      <c r="AG59" s="6">
        <f t="shared" si="28"/>
        <v>1</v>
      </c>
      <c r="AH59" s="7"/>
      <c r="AI59" s="6">
        <f t="shared" si="27"/>
        <v>0</v>
      </c>
      <c r="AJ59" s="6">
        <f t="shared" si="27"/>
        <v>0</v>
      </c>
      <c r="AK59" s="7"/>
      <c r="AL59" s="6">
        <f t="shared" si="26"/>
        <v>0</v>
      </c>
      <c r="AM59" s="6">
        <f t="shared" si="7"/>
        <v>0</v>
      </c>
      <c r="AN59" s="6">
        <f t="shared" si="22"/>
        <v>1</v>
      </c>
      <c r="AO59" s="7">
        <f t="shared" si="23"/>
        <v>1</v>
      </c>
      <c r="AP59" s="7">
        <f t="shared" si="24"/>
        <v>0</v>
      </c>
    </row>
    <row r="60" spans="1:42" x14ac:dyDescent="0.2">
      <c r="A60">
        <f t="shared" si="5"/>
        <v>2005</v>
      </c>
      <c r="B60" s="2">
        <f t="shared" si="8"/>
        <v>469075.20726794505</v>
      </c>
      <c r="C60" s="2"/>
      <c r="D60" s="2"/>
      <c r="E60" s="2"/>
      <c r="F60" s="2"/>
      <c r="G60" s="2"/>
      <c r="H60" s="2"/>
      <c r="I60" s="2">
        <f t="shared" si="9"/>
        <v>469075.20726794505</v>
      </c>
      <c r="J60" s="2">
        <f t="shared" si="10"/>
        <v>13053.075686470605</v>
      </c>
      <c r="K60" s="83">
        <f t="shared" si="11"/>
        <v>2.8623776747858341E-2</v>
      </c>
      <c r="L60" s="7">
        <f t="shared" si="12"/>
        <v>1.0286237767478583</v>
      </c>
      <c r="N60">
        <f t="shared" si="13"/>
        <v>2005</v>
      </c>
      <c r="O60" s="2">
        <f t="shared" si="14"/>
        <v>8577.1241096064496</v>
      </c>
      <c r="P60" s="2"/>
      <c r="Q60" s="2"/>
      <c r="R60">
        <f t="shared" si="15"/>
        <v>2005</v>
      </c>
      <c r="S60" s="2">
        <f t="shared" si="16"/>
        <v>460498.08315833862</v>
      </c>
      <c r="T60" s="2"/>
      <c r="U60" s="2"/>
      <c r="V60" s="2"/>
      <c r="W60" s="2"/>
      <c r="X60" s="2"/>
      <c r="Y60" s="2"/>
      <c r="Z60" s="2">
        <f t="shared" si="17"/>
        <v>460498.08315833862</v>
      </c>
      <c r="AA60" s="2">
        <f t="shared" ref="AA60:AA71" si="29">Z60-Z59</f>
        <v>12779.072689745517</v>
      </c>
      <c r="AB60" s="83">
        <f t="shared" ref="AB60:AB71" si="30">(AA60/Z59)</f>
        <v>2.8542618005812714E-2</v>
      </c>
      <c r="AC60" s="7">
        <f t="shared" si="20"/>
        <v>1.0285426180058128</v>
      </c>
      <c r="AD60" s="2">
        <f t="shared" si="21"/>
        <v>0</v>
      </c>
      <c r="AF60">
        <f t="shared" si="6"/>
        <v>2005</v>
      </c>
      <c r="AG60" s="6">
        <f t="shared" si="28"/>
        <v>1</v>
      </c>
      <c r="AH60" s="7"/>
      <c r="AI60" s="6">
        <f t="shared" si="27"/>
        <v>0</v>
      </c>
      <c r="AJ60" s="6">
        <f t="shared" si="27"/>
        <v>0</v>
      </c>
      <c r="AK60" s="7"/>
      <c r="AL60" s="6">
        <f t="shared" si="26"/>
        <v>0</v>
      </c>
      <c r="AM60" s="6">
        <f t="shared" si="7"/>
        <v>0</v>
      </c>
      <c r="AN60" s="6">
        <f t="shared" si="22"/>
        <v>1</v>
      </c>
      <c r="AO60" s="7">
        <f t="shared" si="23"/>
        <v>1</v>
      </c>
      <c r="AP60" s="7">
        <f t="shared" si="24"/>
        <v>0</v>
      </c>
    </row>
    <row r="61" spans="1:42" x14ac:dyDescent="0.2">
      <c r="A61">
        <f t="shared" si="5"/>
        <v>2006</v>
      </c>
      <c r="B61" s="2">
        <f t="shared" si="8"/>
        <v>532519.98336430278</v>
      </c>
      <c r="C61" s="2"/>
      <c r="D61" s="2"/>
      <c r="E61" s="2"/>
      <c r="F61" s="2"/>
      <c r="G61" s="2"/>
      <c r="H61" s="2"/>
      <c r="I61" s="2">
        <f t="shared" si="9"/>
        <v>532519.98336430278</v>
      </c>
      <c r="J61" s="2">
        <f t="shared" si="10"/>
        <v>63444.776096357731</v>
      </c>
      <c r="K61" s="83">
        <f t="shared" si="11"/>
        <v>0.13525501905308931</v>
      </c>
      <c r="L61" s="7">
        <f t="shared" si="12"/>
        <v>1.1352550190530892</v>
      </c>
      <c r="N61">
        <f t="shared" si="13"/>
        <v>2006</v>
      </c>
      <c r="O61" s="2">
        <f t="shared" si="14"/>
        <v>8791.5522123466108</v>
      </c>
      <c r="P61" s="2"/>
      <c r="Q61" s="2"/>
      <c r="R61">
        <f t="shared" si="15"/>
        <v>2006</v>
      </c>
      <c r="S61" s="2">
        <f t="shared" si="16"/>
        <v>523728.43115195615</v>
      </c>
      <c r="T61" s="2"/>
      <c r="U61" s="2"/>
      <c r="V61" s="2"/>
      <c r="W61" s="2"/>
      <c r="X61" s="2"/>
      <c r="Y61" s="2"/>
      <c r="Z61" s="2">
        <f t="shared" si="17"/>
        <v>523728.43115195615</v>
      </c>
      <c r="AA61" s="2">
        <f t="shared" si="29"/>
        <v>63230.347993617528</v>
      </c>
      <c r="AB61" s="83">
        <f t="shared" si="30"/>
        <v>0.13730860193803732</v>
      </c>
      <c r="AC61" s="7">
        <f t="shared" si="20"/>
        <v>1.1373086019380374</v>
      </c>
      <c r="AD61" s="2">
        <f t="shared" si="21"/>
        <v>0</v>
      </c>
      <c r="AF61">
        <f t="shared" si="6"/>
        <v>2006</v>
      </c>
      <c r="AG61" s="6">
        <f t="shared" si="28"/>
        <v>1</v>
      </c>
      <c r="AH61" s="7"/>
      <c r="AI61" s="6">
        <f t="shared" si="27"/>
        <v>0</v>
      </c>
      <c r="AJ61" s="6">
        <f t="shared" si="27"/>
        <v>0</v>
      </c>
      <c r="AK61" s="7"/>
      <c r="AL61" s="6">
        <f t="shared" si="26"/>
        <v>0</v>
      </c>
      <c r="AM61" s="6">
        <f t="shared" si="7"/>
        <v>0</v>
      </c>
      <c r="AN61" s="6">
        <f t="shared" si="22"/>
        <v>1</v>
      </c>
      <c r="AO61" s="7">
        <f t="shared" si="23"/>
        <v>1</v>
      </c>
      <c r="AP61" s="7">
        <f t="shared" si="24"/>
        <v>0</v>
      </c>
    </row>
    <row r="62" spans="1:42" x14ac:dyDescent="0.2">
      <c r="A62">
        <f t="shared" si="5"/>
        <v>2007</v>
      </c>
      <c r="B62" s="2">
        <f t="shared" si="8"/>
        <v>551957.39359104657</v>
      </c>
      <c r="C62" s="2"/>
      <c r="D62" s="2"/>
      <c r="E62" s="2"/>
      <c r="F62" s="2"/>
      <c r="G62" s="2"/>
      <c r="H62" s="2"/>
      <c r="I62" s="2">
        <f t="shared" si="9"/>
        <v>551957.39359104657</v>
      </c>
      <c r="J62" s="2">
        <f t="shared" si="10"/>
        <v>19437.410226743785</v>
      </c>
      <c r="K62" s="83">
        <f t="shared" si="11"/>
        <v>3.6500809047472757E-2</v>
      </c>
      <c r="L62" s="7">
        <f t="shared" si="12"/>
        <v>1.0365008090474728</v>
      </c>
      <c r="N62">
        <f t="shared" si="13"/>
        <v>2007</v>
      </c>
      <c r="O62" s="2">
        <f t="shared" si="14"/>
        <v>9152.0058530528204</v>
      </c>
      <c r="P62" s="2"/>
      <c r="Q62" s="2"/>
      <c r="R62">
        <f t="shared" si="15"/>
        <v>2007</v>
      </c>
      <c r="S62" s="2">
        <f t="shared" si="16"/>
        <v>542805.38773799373</v>
      </c>
      <c r="T62" s="2"/>
      <c r="U62" s="2"/>
      <c r="V62" s="2"/>
      <c r="W62" s="2"/>
      <c r="X62" s="2"/>
      <c r="Y62" s="2"/>
      <c r="Z62" s="2">
        <f t="shared" si="17"/>
        <v>542805.38773799373</v>
      </c>
      <c r="AA62" s="2">
        <f t="shared" si="29"/>
        <v>19076.956586037588</v>
      </c>
      <c r="AB62" s="83">
        <f t="shared" si="30"/>
        <v>3.6425283508243499E-2</v>
      </c>
      <c r="AC62" s="7">
        <f t="shared" si="20"/>
        <v>1.0364252835082435</v>
      </c>
      <c r="AD62" s="2">
        <f t="shared" si="21"/>
        <v>0</v>
      </c>
      <c r="AF62">
        <f t="shared" si="6"/>
        <v>2007</v>
      </c>
      <c r="AG62" s="6">
        <f t="shared" si="28"/>
        <v>1</v>
      </c>
      <c r="AH62" s="7"/>
      <c r="AI62" s="6">
        <f t="shared" si="27"/>
        <v>0</v>
      </c>
      <c r="AJ62" s="6">
        <f t="shared" si="27"/>
        <v>0</v>
      </c>
      <c r="AK62" s="7"/>
      <c r="AL62" s="6">
        <f t="shared" si="26"/>
        <v>0</v>
      </c>
      <c r="AM62" s="6">
        <f t="shared" si="7"/>
        <v>0</v>
      </c>
      <c r="AN62" s="6">
        <f t="shared" si="22"/>
        <v>1</v>
      </c>
      <c r="AO62" s="7">
        <f t="shared" si="23"/>
        <v>1</v>
      </c>
      <c r="AP62" s="7">
        <f t="shared" si="24"/>
        <v>0</v>
      </c>
    </row>
    <row r="63" spans="1:42" x14ac:dyDescent="0.2">
      <c r="A63">
        <f t="shared" si="5"/>
        <v>2008</v>
      </c>
      <c r="B63" s="2">
        <f t="shared" si="8"/>
        <v>341858.83319738839</v>
      </c>
      <c r="C63" s="2"/>
      <c r="D63" s="2"/>
      <c r="E63" s="2"/>
      <c r="F63" s="2"/>
      <c r="G63" s="2"/>
      <c r="H63" s="2"/>
      <c r="I63" s="2">
        <f t="shared" si="9"/>
        <v>341858.83319738839</v>
      </c>
      <c r="J63" s="2">
        <f t="shared" si="10"/>
        <v>-210098.56039365818</v>
      </c>
      <c r="K63" s="83">
        <f t="shared" si="11"/>
        <v>-0.38064271415362783</v>
      </c>
      <c r="L63" s="7">
        <f t="shared" si="12"/>
        <v>0.61935728584637217</v>
      </c>
      <c r="N63">
        <f t="shared" si="13"/>
        <v>2008</v>
      </c>
      <c r="O63" s="2">
        <f t="shared" si="14"/>
        <v>9152.0058530528204</v>
      </c>
      <c r="P63" s="2"/>
      <c r="Q63" s="2"/>
      <c r="R63">
        <f t="shared" si="15"/>
        <v>2008</v>
      </c>
      <c r="S63" s="2">
        <f t="shared" si="16"/>
        <v>332706.82734433556</v>
      </c>
      <c r="T63" s="2"/>
      <c r="U63" s="2"/>
      <c r="V63" s="2"/>
      <c r="W63" s="2"/>
      <c r="X63" s="2"/>
      <c r="Y63" s="2"/>
      <c r="Z63" s="2">
        <f t="shared" si="17"/>
        <v>332706.82734433556</v>
      </c>
      <c r="AA63" s="2">
        <f t="shared" si="29"/>
        <v>-210098.56039365818</v>
      </c>
      <c r="AB63" s="83">
        <f t="shared" si="30"/>
        <v>-0.3870605656093275</v>
      </c>
      <c r="AC63" s="7">
        <f t="shared" si="20"/>
        <v>0.61293943439067244</v>
      </c>
      <c r="AD63" s="2">
        <f t="shared" si="21"/>
        <v>0</v>
      </c>
      <c r="AF63">
        <f t="shared" si="6"/>
        <v>2008</v>
      </c>
      <c r="AG63" s="6">
        <f t="shared" si="28"/>
        <v>1</v>
      </c>
      <c r="AH63" s="7"/>
      <c r="AI63" s="6">
        <f t="shared" si="27"/>
        <v>0</v>
      </c>
      <c r="AJ63" s="6">
        <f t="shared" si="27"/>
        <v>0</v>
      </c>
      <c r="AK63" s="7"/>
      <c r="AL63" s="6">
        <f t="shared" si="26"/>
        <v>0</v>
      </c>
      <c r="AM63" s="6">
        <f t="shared" si="7"/>
        <v>0</v>
      </c>
      <c r="AN63" s="6">
        <f t="shared" si="22"/>
        <v>1</v>
      </c>
      <c r="AO63" s="7">
        <f t="shared" si="23"/>
        <v>1</v>
      </c>
      <c r="AP63" s="7">
        <f t="shared" si="24"/>
        <v>0</v>
      </c>
    </row>
    <row r="64" spans="1:42" x14ac:dyDescent="0.2">
      <c r="A64">
        <f t="shared" si="5"/>
        <v>2009</v>
      </c>
      <c r="B64" s="2">
        <f t="shared" si="8"/>
        <v>420840.86590785004</v>
      </c>
      <c r="C64" s="2"/>
      <c r="D64" s="2"/>
      <c r="E64" s="2"/>
      <c r="F64" s="2"/>
      <c r="G64" s="2"/>
      <c r="H64" s="2"/>
      <c r="I64" s="2">
        <f t="shared" si="9"/>
        <v>420840.86590785004</v>
      </c>
      <c r="J64" s="2">
        <f t="shared" si="10"/>
        <v>78982.032710461644</v>
      </c>
      <c r="K64" s="83">
        <f t="shared" si="11"/>
        <v>0.23103698088402949</v>
      </c>
      <c r="L64" s="7">
        <f t="shared" si="12"/>
        <v>1.2310369808840296</v>
      </c>
      <c r="N64">
        <f t="shared" si="13"/>
        <v>2009</v>
      </c>
      <c r="O64" s="2">
        <f t="shared" si="14"/>
        <v>9408.262016938299</v>
      </c>
      <c r="P64" s="2"/>
      <c r="Q64" s="2"/>
      <c r="R64">
        <f t="shared" si="15"/>
        <v>2009</v>
      </c>
      <c r="S64" s="2">
        <f t="shared" si="16"/>
        <v>411432.60389091173</v>
      </c>
      <c r="T64" s="2"/>
      <c r="U64" s="2"/>
      <c r="V64" s="2"/>
      <c r="W64" s="2"/>
      <c r="X64" s="2"/>
      <c r="Y64" s="2"/>
      <c r="Z64" s="2">
        <f t="shared" si="17"/>
        <v>411432.60389091173</v>
      </c>
      <c r="AA64" s="2">
        <f t="shared" si="29"/>
        <v>78725.776546576177</v>
      </c>
      <c r="AB64" s="83">
        <f t="shared" si="30"/>
        <v>0.23662206506240038</v>
      </c>
      <c r="AC64" s="7">
        <f t="shared" si="20"/>
        <v>1.2366220650624005</v>
      </c>
      <c r="AD64" s="2">
        <f t="shared" si="21"/>
        <v>0</v>
      </c>
      <c r="AF64">
        <f t="shared" si="6"/>
        <v>2009</v>
      </c>
      <c r="AG64" s="6">
        <f t="shared" si="28"/>
        <v>1</v>
      </c>
      <c r="AH64" s="7"/>
      <c r="AI64" s="6">
        <f t="shared" si="27"/>
        <v>0</v>
      </c>
      <c r="AJ64" s="6">
        <f t="shared" si="27"/>
        <v>0</v>
      </c>
      <c r="AK64" s="7"/>
      <c r="AL64" s="6">
        <f t="shared" si="26"/>
        <v>0</v>
      </c>
      <c r="AM64" s="6">
        <f t="shared" si="7"/>
        <v>0</v>
      </c>
      <c r="AN64" s="6">
        <f t="shared" si="22"/>
        <v>1</v>
      </c>
      <c r="AO64" s="7">
        <f t="shared" si="23"/>
        <v>1</v>
      </c>
      <c r="AP64" s="7">
        <f t="shared" si="24"/>
        <v>0</v>
      </c>
    </row>
    <row r="65" spans="1:42" x14ac:dyDescent="0.2">
      <c r="A65">
        <f t="shared" si="5"/>
        <v>2010</v>
      </c>
      <c r="B65" s="2">
        <f t="shared" si="8"/>
        <v>472777.20513104671</v>
      </c>
      <c r="C65" s="2"/>
      <c r="D65" s="2"/>
      <c r="E65" s="2"/>
      <c r="F65" s="2"/>
      <c r="G65" s="2"/>
      <c r="H65" s="2"/>
      <c r="I65" s="2">
        <f t="shared" si="9"/>
        <v>472777.20513104671</v>
      </c>
      <c r="J65" s="2">
        <f t="shared" si="10"/>
        <v>51936.339223196672</v>
      </c>
      <c r="K65" s="83">
        <f t="shared" si="11"/>
        <v>0.12341087434833142</v>
      </c>
      <c r="L65" s="7">
        <f t="shared" si="12"/>
        <v>1.1234108743483313</v>
      </c>
      <c r="N65">
        <f t="shared" si="13"/>
        <v>2010</v>
      </c>
      <c r="O65" s="2">
        <f t="shared" si="14"/>
        <v>9539.9776851754359</v>
      </c>
      <c r="P65" s="2"/>
      <c r="Q65" s="2"/>
      <c r="R65">
        <f t="shared" si="15"/>
        <v>2010</v>
      </c>
      <c r="S65" s="2">
        <f t="shared" si="16"/>
        <v>463237.22744587128</v>
      </c>
      <c r="T65" s="2"/>
      <c r="U65" s="2"/>
      <c r="V65" s="2"/>
      <c r="W65" s="2"/>
      <c r="X65" s="2"/>
      <c r="Y65" s="2"/>
      <c r="Z65" s="2">
        <f t="shared" si="17"/>
        <v>463237.22744587128</v>
      </c>
      <c r="AA65" s="2">
        <f t="shared" si="29"/>
        <v>51804.623554959544</v>
      </c>
      <c r="AB65" s="83">
        <f t="shared" si="30"/>
        <v>0.12591278149821872</v>
      </c>
      <c r="AC65" s="7">
        <f t="shared" si="20"/>
        <v>1.1259127814982186</v>
      </c>
      <c r="AD65" s="2">
        <f t="shared" si="21"/>
        <v>0</v>
      </c>
      <c r="AF65">
        <f t="shared" si="6"/>
        <v>2010</v>
      </c>
      <c r="AG65" s="6">
        <f t="shared" si="28"/>
        <v>1</v>
      </c>
      <c r="AH65" s="7"/>
      <c r="AI65" s="6">
        <f t="shared" si="27"/>
        <v>0</v>
      </c>
      <c r="AJ65" s="6">
        <f t="shared" si="27"/>
        <v>0</v>
      </c>
      <c r="AK65" s="7"/>
      <c r="AL65" s="6">
        <f t="shared" si="26"/>
        <v>0</v>
      </c>
      <c r="AM65" s="6">
        <f t="shared" si="7"/>
        <v>0</v>
      </c>
      <c r="AN65" s="6">
        <f t="shared" si="22"/>
        <v>1</v>
      </c>
      <c r="AO65" s="7">
        <f t="shared" si="23"/>
        <v>1</v>
      </c>
      <c r="AP65" s="7">
        <f t="shared" si="24"/>
        <v>0</v>
      </c>
    </row>
    <row r="66" spans="1:42" x14ac:dyDescent="0.2">
      <c r="A66">
        <f t="shared" si="5"/>
        <v>2011</v>
      </c>
      <c r="B66" s="2">
        <f t="shared" si="8"/>
        <v>472363.00082655495</v>
      </c>
      <c r="C66" s="2"/>
      <c r="D66" s="2"/>
      <c r="E66" s="2"/>
      <c r="F66" s="2"/>
      <c r="G66" s="2"/>
      <c r="H66" s="2"/>
      <c r="I66" s="2">
        <f t="shared" si="9"/>
        <v>472363.00082655495</v>
      </c>
      <c r="J66" s="2">
        <f t="shared" si="10"/>
        <v>-414.20430449175183</v>
      </c>
      <c r="K66" s="83">
        <f t="shared" si="11"/>
        <v>-8.7610887326291598E-4</v>
      </c>
      <c r="L66" s="7">
        <f t="shared" si="12"/>
        <v>0.99912389112673705</v>
      </c>
      <c r="N66">
        <f t="shared" si="13"/>
        <v>2011</v>
      </c>
      <c r="O66" s="2">
        <f t="shared" si="14"/>
        <v>9826.1770157307001</v>
      </c>
      <c r="P66" s="2"/>
      <c r="Q66" s="2"/>
      <c r="R66">
        <f t="shared" si="15"/>
        <v>2011</v>
      </c>
      <c r="S66" s="2">
        <f t="shared" si="16"/>
        <v>462536.82381082425</v>
      </c>
      <c r="T66" s="2"/>
      <c r="U66" s="2"/>
      <c r="V66" s="2"/>
      <c r="W66" s="2"/>
      <c r="X66" s="2"/>
      <c r="Y66" s="2"/>
      <c r="Z66" s="2">
        <f t="shared" si="17"/>
        <v>462536.82381082425</v>
      </c>
      <c r="AA66" s="2">
        <f t="shared" si="29"/>
        <v>-700.40363504702691</v>
      </c>
      <c r="AB66" s="83">
        <f t="shared" si="30"/>
        <v>-1.5119761399765054E-3</v>
      </c>
      <c r="AC66" s="7">
        <f t="shared" si="20"/>
        <v>0.99848802386002344</v>
      </c>
      <c r="AD66" s="2">
        <f t="shared" si="21"/>
        <v>0</v>
      </c>
      <c r="AF66">
        <f t="shared" si="6"/>
        <v>2011</v>
      </c>
      <c r="AG66" s="6">
        <f t="shared" si="28"/>
        <v>1</v>
      </c>
      <c r="AH66" s="7"/>
      <c r="AI66" s="6">
        <f t="shared" si="27"/>
        <v>0</v>
      </c>
      <c r="AJ66" s="6">
        <f t="shared" si="27"/>
        <v>0</v>
      </c>
      <c r="AK66" s="7"/>
      <c r="AL66" s="6">
        <f t="shared" si="26"/>
        <v>0</v>
      </c>
      <c r="AM66" s="6">
        <f t="shared" si="7"/>
        <v>0</v>
      </c>
      <c r="AN66" s="6">
        <f t="shared" si="22"/>
        <v>1</v>
      </c>
      <c r="AO66" s="7">
        <f t="shared" si="23"/>
        <v>1</v>
      </c>
      <c r="AP66" s="7">
        <f t="shared" si="24"/>
        <v>0</v>
      </c>
    </row>
    <row r="67" spans="1:42" x14ac:dyDescent="0.2">
      <c r="A67">
        <f t="shared" si="5"/>
        <v>2012</v>
      </c>
      <c r="B67" s="2">
        <f t="shared" si="8"/>
        <v>535710.14933769661</v>
      </c>
      <c r="C67" s="2"/>
      <c r="D67" s="2"/>
      <c r="E67" s="2"/>
      <c r="F67" s="2"/>
      <c r="G67" s="2"/>
      <c r="H67" s="2"/>
      <c r="I67" s="2">
        <f t="shared" si="9"/>
        <v>535710.14933769661</v>
      </c>
      <c r="J67" s="2">
        <f t="shared" si="10"/>
        <v>63347.148511141655</v>
      </c>
      <c r="K67" s="83">
        <f t="shared" si="11"/>
        <v>0.1341069228544465</v>
      </c>
      <c r="L67" s="7">
        <f t="shared" si="12"/>
        <v>1.1341069228544465</v>
      </c>
      <c r="N67">
        <f t="shared" si="13"/>
        <v>2012</v>
      </c>
      <c r="O67" s="2">
        <f t="shared" si="14"/>
        <v>10003.048202013853</v>
      </c>
      <c r="P67" s="2"/>
      <c r="Q67" s="2"/>
      <c r="R67">
        <f t="shared" si="15"/>
        <v>2012</v>
      </c>
      <c r="S67" s="2">
        <f t="shared" si="16"/>
        <v>525707.10113568278</v>
      </c>
      <c r="T67" s="2"/>
      <c r="U67" s="2"/>
      <c r="V67" s="2"/>
      <c r="W67" s="2"/>
      <c r="X67" s="2"/>
      <c r="Y67" s="2"/>
      <c r="Z67" s="2">
        <f t="shared" si="17"/>
        <v>525707.10113568278</v>
      </c>
      <c r="AA67" s="2">
        <f t="shared" si="29"/>
        <v>63170.277324858529</v>
      </c>
      <c r="AB67" s="83">
        <f t="shared" si="30"/>
        <v>0.13657350955195499</v>
      </c>
      <c r="AC67" s="7">
        <f t="shared" si="20"/>
        <v>1.1365735095519549</v>
      </c>
      <c r="AD67" s="2">
        <f t="shared" si="21"/>
        <v>0</v>
      </c>
      <c r="AF67">
        <f t="shared" si="6"/>
        <v>2012</v>
      </c>
      <c r="AG67" s="6">
        <f t="shared" si="28"/>
        <v>1</v>
      </c>
      <c r="AH67" s="7"/>
      <c r="AI67" s="6">
        <f t="shared" si="27"/>
        <v>0</v>
      </c>
      <c r="AJ67" s="6">
        <f t="shared" si="27"/>
        <v>0</v>
      </c>
      <c r="AK67" s="7"/>
      <c r="AL67" s="6">
        <f t="shared" si="26"/>
        <v>0</v>
      </c>
      <c r="AM67" s="6">
        <f t="shared" si="7"/>
        <v>0</v>
      </c>
      <c r="AN67" s="6">
        <f t="shared" si="22"/>
        <v>1</v>
      </c>
      <c r="AO67" s="7">
        <f t="shared" si="23"/>
        <v>1</v>
      </c>
      <c r="AP67" s="7">
        <f t="shared" si="24"/>
        <v>0</v>
      </c>
    </row>
    <row r="68" spans="1:42" x14ac:dyDescent="0.2">
      <c r="A68">
        <f t="shared" si="5"/>
        <v>2013</v>
      </c>
      <c r="B68" s="2">
        <f t="shared" si="8"/>
        <v>694879.64628114551</v>
      </c>
      <c r="C68" s="2"/>
      <c r="D68" s="2"/>
      <c r="E68" s="2"/>
      <c r="F68" s="2"/>
      <c r="G68" s="2"/>
      <c r="H68" s="2"/>
      <c r="I68" s="2">
        <f t="shared" ref="I68:I69" si="31">SUM(B68:H68)</f>
        <v>694879.64628114551</v>
      </c>
      <c r="J68" s="2">
        <f t="shared" si="10"/>
        <v>159169.4969434489</v>
      </c>
      <c r="K68" s="83">
        <f t="shared" si="11"/>
        <v>0.29711868841804029</v>
      </c>
      <c r="L68" s="7">
        <f t="shared" si="12"/>
        <v>1.2971186884180403</v>
      </c>
      <c r="N68">
        <f t="shared" si="13"/>
        <v>2013</v>
      </c>
      <c r="O68" s="2">
        <f t="shared" si="14"/>
        <v>10118.642597318711</v>
      </c>
      <c r="P68" s="2"/>
      <c r="Q68" s="2"/>
      <c r="R68">
        <f t="shared" si="15"/>
        <v>2013</v>
      </c>
      <c r="S68" s="2">
        <f t="shared" si="16"/>
        <v>684761.00368382677</v>
      </c>
      <c r="T68" s="2"/>
      <c r="U68" s="2"/>
      <c r="V68" s="2"/>
      <c r="W68" s="2"/>
      <c r="X68" s="2"/>
      <c r="Y68" s="2"/>
      <c r="Z68" s="2">
        <f t="shared" si="17"/>
        <v>684761.00368382677</v>
      </c>
      <c r="AA68" s="2">
        <f t="shared" si="29"/>
        <v>159053.90254814399</v>
      </c>
      <c r="AB68" s="83">
        <f t="shared" si="30"/>
        <v>0.30255231897104018</v>
      </c>
      <c r="AC68" s="7">
        <f t="shared" si="20"/>
        <v>1.3025523189710402</v>
      </c>
      <c r="AD68" s="2">
        <f t="shared" si="21"/>
        <v>0</v>
      </c>
      <c r="AF68">
        <f t="shared" si="6"/>
        <v>2013</v>
      </c>
      <c r="AG68" s="6">
        <f t="shared" si="28"/>
        <v>1</v>
      </c>
      <c r="AH68" s="7"/>
      <c r="AI68" s="6">
        <f t="shared" si="27"/>
        <v>0</v>
      </c>
      <c r="AJ68" s="6">
        <f t="shared" si="27"/>
        <v>0</v>
      </c>
      <c r="AK68" s="7"/>
      <c r="AL68" s="6">
        <f t="shared" si="26"/>
        <v>0</v>
      </c>
      <c r="AM68" s="6">
        <f t="shared" si="7"/>
        <v>0</v>
      </c>
      <c r="AN68" s="6">
        <f t="shared" si="22"/>
        <v>1</v>
      </c>
      <c r="AO68" s="7">
        <f t="shared" si="23"/>
        <v>1</v>
      </c>
      <c r="AP68" s="7">
        <f t="shared" si="24"/>
        <v>0</v>
      </c>
    </row>
    <row r="69" spans="1:42" x14ac:dyDescent="0.2">
      <c r="A69">
        <f t="shared" si="5"/>
        <v>2014</v>
      </c>
      <c r="B69" s="2">
        <f t="shared" si="8"/>
        <v>777272.21528151177</v>
      </c>
      <c r="C69" s="2"/>
      <c r="D69" s="2"/>
      <c r="E69" s="2"/>
      <c r="F69" s="2"/>
      <c r="G69" s="2"/>
      <c r="H69" s="2"/>
      <c r="I69" s="2">
        <f t="shared" si="31"/>
        <v>777272.21528151177</v>
      </c>
      <c r="J69" s="2">
        <f t="shared" si="10"/>
        <v>82392.56900036626</v>
      </c>
      <c r="K69" s="83">
        <f t="shared" si="11"/>
        <v>0.11857099202907227</v>
      </c>
      <c r="L69" s="7">
        <f t="shared" si="12"/>
        <v>1.1185709920290723</v>
      </c>
      <c r="N69">
        <f t="shared" si="13"/>
        <v>2014</v>
      </c>
      <c r="O69" s="2">
        <f t="shared" si="14"/>
        <v>10249.173086824121</v>
      </c>
      <c r="P69" s="2"/>
      <c r="R69">
        <f t="shared" si="15"/>
        <v>2014</v>
      </c>
      <c r="S69" s="2">
        <f t="shared" si="16"/>
        <v>767023.04219468764</v>
      </c>
      <c r="T69" s="2"/>
      <c r="U69" s="2"/>
      <c r="V69" s="2"/>
      <c r="W69" s="2"/>
      <c r="X69" s="2"/>
      <c r="Y69" s="2"/>
      <c r="Z69" s="2">
        <f t="shared" si="17"/>
        <v>767023.04219468764</v>
      </c>
      <c r="AA69" s="2">
        <f t="shared" si="29"/>
        <v>82262.038510860875</v>
      </c>
      <c r="AB69" s="83">
        <f t="shared" si="30"/>
        <v>0.12013248135964756</v>
      </c>
      <c r="AC69" s="7">
        <f t="shared" si="20"/>
        <v>1.1201324813596476</v>
      </c>
      <c r="AD69" s="2">
        <f t="shared" si="21"/>
        <v>0</v>
      </c>
      <c r="AF69">
        <f t="shared" si="6"/>
        <v>2014</v>
      </c>
      <c r="AG69" s="6">
        <f t="shared" si="28"/>
        <v>1</v>
      </c>
      <c r="AH69" s="7"/>
      <c r="AI69" s="6">
        <f t="shared" si="27"/>
        <v>0</v>
      </c>
      <c r="AJ69" s="6">
        <f t="shared" si="27"/>
        <v>0</v>
      </c>
      <c r="AK69" s="7"/>
      <c r="AL69" s="6">
        <f t="shared" si="26"/>
        <v>0</v>
      </c>
      <c r="AM69" s="6">
        <f t="shared" si="7"/>
        <v>0</v>
      </c>
      <c r="AN69" s="6">
        <f t="shared" si="22"/>
        <v>1</v>
      </c>
      <c r="AO69" s="7">
        <f t="shared" si="23"/>
        <v>1</v>
      </c>
      <c r="AP69" s="7">
        <f t="shared" si="24"/>
        <v>0</v>
      </c>
    </row>
    <row r="70" spans="1:42" x14ac:dyDescent="0.2">
      <c r="A70">
        <f t="shared" si="5"/>
        <v>2015</v>
      </c>
      <c r="B70" s="2">
        <f t="shared" si="8"/>
        <v>776610.83022212121</v>
      </c>
      <c r="C70" s="2"/>
      <c r="D70" s="2"/>
      <c r="E70" s="2"/>
      <c r="F70" s="2"/>
      <c r="G70" s="2"/>
      <c r="H70" s="2"/>
      <c r="I70" s="2">
        <f t="shared" ref="I70:I71" si="32">SUM(B70:H70)</f>
        <v>776610.83022212121</v>
      </c>
      <c r="J70" s="2">
        <f t="shared" si="10"/>
        <v>-661.38505939056631</v>
      </c>
      <c r="K70" s="83">
        <f t="shared" si="11"/>
        <v>-8.5090531526464826E-4</v>
      </c>
      <c r="L70" s="7">
        <f t="shared" si="12"/>
        <v>0.99914909468473534</v>
      </c>
      <c r="N70">
        <f t="shared" si="13"/>
        <v>2015</v>
      </c>
      <c r="O70" s="2">
        <f t="shared" si="14"/>
        <v>10294.269448406147</v>
      </c>
      <c r="P70" s="2"/>
      <c r="R70">
        <f t="shared" si="15"/>
        <v>2015</v>
      </c>
      <c r="S70" s="2">
        <f t="shared" si="16"/>
        <v>766316.56077371503</v>
      </c>
      <c r="T70" s="2"/>
      <c r="U70" s="2"/>
      <c r="V70" s="2"/>
      <c r="W70" s="2"/>
      <c r="X70" s="2"/>
      <c r="Y70" s="2"/>
      <c r="Z70" s="2">
        <f t="shared" si="17"/>
        <v>766316.56077371503</v>
      </c>
      <c r="AA70" s="2">
        <f t="shared" si="29"/>
        <v>-706.48142097261734</v>
      </c>
      <c r="AB70" s="83">
        <f t="shared" si="30"/>
        <v>-9.2106935790502175E-4</v>
      </c>
      <c r="AC70" s="7">
        <f t="shared" si="20"/>
        <v>0.99907893064209496</v>
      </c>
      <c r="AD70" s="2">
        <f t="shared" si="21"/>
        <v>0</v>
      </c>
      <c r="AF70">
        <f t="shared" si="6"/>
        <v>2015</v>
      </c>
      <c r="AG70" s="6">
        <f t="shared" si="28"/>
        <v>1</v>
      </c>
      <c r="AH70" s="7"/>
      <c r="AI70" s="6">
        <f t="shared" si="27"/>
        <v>0</v>
      </c>
      <c r="AJ70" s="6">
        <f t="shared" si="27"/>
        <v>0</v>
      </c>
      <c r="AK70" s="7"/>
      <c r="AL70" s="6">
        <f t="shared" si="26"/>
        <v>0</v>
      </c>
      <c r="AM70" s="6">
        <f t="shared" si="7"/>
        <v>0</v>
      </c>
      <c r="AN70" s="6">
        <f t="shared" si="22"/>
        <v>1</v>
      </c>
      <c r="AO70" s="7">
        <f t="shared" si="23"/>
        <v>1</v>
      </c>
      <c r="AP70" s="7">
        <f t="shared" si="24"/>
        <v>0</v>
      </c>
    </row>
    <row r="71" spans="1:42" x14ac:dyDescent="0.2">
      <c r="A71">
        <f t="shared" si="5"/>
        <v>2016</v>
      </c>
      <c r="B71" s="2">
        <f t="shared" si="8"/>
        <v>856895.17825716815</v>
      </c>
      <c r="C71" s="2"/>
      <c r="D71" s="2"/>
      <c r="E71" s="2"/>
      <c r="F71" s="2"/>
      <c r="G71" s="2"/>
      <c r="H71" s="2"/>
      <c r="I71" s="2">
        <f t="shared" si="32"/>
        <v>856895.17825716815</v>
      </c>
      <c r="J71" s="2">
        <f t="shared" si="10"/>
        <v>80284.348035046947</v>
      </c>
      <c r="K71" s="83">
        <f t="shared" si="11"/>
        <v>0.10337783727801547</v>
      </c>
      <c r="L71" s="7">
        <f t="shared" si="12"/>
        <v>1.1033778372780154</v>
      </c>
      <c r="N71">
        <f t="shared" si="13"/>
        <v>2016</v>
      </c>
      <c r="O71" s="2">
        <f t="shared" si="14"/>
        <v>10469.272029029051</v>
      </c>
      <c r="P71" s="2"/>
      <c r="R71">
        <f t="shared" si="15"/>
        <v>2016</v>
      </c>
      <c r="S71" s="2">
        <f t="shared" si="16"/>
        <v>846425.90622813907</v>
      </c>
      <c r="T71" s="2"/>
      <c r="U71" s="2"/>
      <c r="V71" s="2"/>
      <c r="W71" s="2"/>
      <c r="X71" s="2"/>
      <c r="Y71" s="2"/>
      <c r="Z71" s="2">
        <f t="shared" si="17"/>
        <v>846425.90622813907</v>
      </c>
      <c r="AA71" s="2">
        <f t="shared" si="29"/>
        <v>80109.345454424038</v>
      </c>
      <c r="AB71" s="83">
        <f t="shared" si="30"/>
        <v>0.10453818898751356</v>
      </c>
      <c r="AC71" s="7">
        <f t="shared" si="20"/>
        <v>1.1045381889875137</v>
      </c>
      <c r="AD71" s="2">
        <f t="shared" si="21"/>
        <v>0</v>
      </c>
      <c r="AF71">
        <f t="shared" si="6"/>
        <v>2016</v>
      </c>
      <c r="AG71" s="6">
        <f t="shared" si="28"/>
        <v>1</v>
      </c>
      <c r="AH71" s="7"/>
      <c r="AI71" s="6">
        <f t="shared" ref="AI71:AJ71" si="33">U71/$Z71</f>
        <v>0</v>
      </c>
      <c r="AJ71" s="6">
        <f t="shared" si="33"/>
        <v>0</v>
      </c>
      <c r="AK71" s="7"/>
      <c r="AL71" s="6">
        <f t="shared" si="26"/>
        <v>0</v>
      </c>
      <c r="AM71" s="6">
        <f t="shared" si="7"/>
        <v>0</v>
      </c>
      <c r="AN71" s="6">
        <f t="shared" si="22"/>
        <v>1</v>
      </c>
      <c r="AO71" s="7">
        <f t="shared" si="23"/>
        <v>1</v>
      </c>
      <c r="AP71" s="7">
        <f t="shared" si="24"/>
        <v>0</v>
      </c>
    </row>
    <row r="72" spans="1:42" x14ac:dyDescent="0.2">
      <c r="A72">
        <f t="shared" si="5"/>
        <v>2017</v>
      </c>
      <c r="B72" s="2">
        <f t="shared" si="8"/>
        <v>1029846.4001077767</v>
      </c>
      <c r="C72" s="2"/>
      <c r="D72" s="2"/>
      <c r="E72" s="2"/>
      <c r="F72" s="2"/>
      <c r="G72" s="2"/>
      <c r="H72" s="2"/>
      <c r="I72" s="2">
        <f>SUM(B72:H72)</f>
        <v>1029846.4001077767</v>
      </c>
      <c r="J72" s="2">
        <f>I72-I71</f>
        <v>172951.22185060859</v>
      </c>
      <c r="K72" s="83">
        <f>(J72/I71)</f>
        <v>0.20183474739859386</v>
      </c>
      <c r="L72" s="7">
        <f>K72+1</f>
        <v>1.201834747398594</v>
      </c>
      <c r="N72">
        <f>A72</f>
        <v>2017</v>
      </c>
      <c r="O72" s="2">
        <f t="shared" si="14"/>
        <v>10702.736795276398</v>
      </c>
      <c r="P72" s="2"/>
      <c r="R72">
        <f>A72</f>
        <v>2017</v>
      </c>
      <c r="S72" s="2">
        <f>B72-($O72)</f>
        <v>1019143.6633125003</v>
      </c>
      <c r="T72" s="2"/>
      <c r="U72" s="2"/>
      <c r="V72" s="2"/>
      <c r="W72" s="2"/>
      <c r="X72" s="2"/>
      <c r="Y72" s="2"/>
      <c r="Z72" s="2">
        <f>SUM(S72:Y72)</f>
        <v>1019143.6633125003</v>
      </c>
      <c r="AA72" s="2">
        <f>Z72-Z71</f>
        <v>172717.75708436128</v>
      </c>
      <c r="AB72" s="83">
        <f>(AA72/Z71)</f>
        <v>0.20405537662951478</v>
      </c>
      <c r="AC72" s="7">
        <f>AB72+1</f>
        <v>1.2040553766295148</v>
      </c>
      <c r="AD72" s="2">
        <f>Z72-(I72-O72)</f>
        <v>0</v>
      </c>
      <c r="AF72">
        <f>A72</f>
        <v>2017</v>
      </c>
      <c r="AG72" s="6">
        <f>S72/$Z72</f>
        <v>1</v>
      </c>
      <c r="AH72" s="7"/>
      <c r="AI72" s="6">
        <f t="shared" ref="AI72:AJ73" si="34">U72/$Z72</f>
        <v>0</v>
      </c>
      <c r="AJ72" s="6">
        <f t="shared" si="34"/>
        <v>0</v>
      </c>
      <c r="AK72" s="7"/>
      <c r="AL72" s="6">
        <f t="shared" ref="AL72:AM73" si="35">X72/$Z72</f>
        <v>0</v>
      </c>
      <c r="AM72" s="6">
        <f t="shared" si="35"/>
        <v>0</v>
      </c>
      <c r="AN72" s="6">
        <f>SUM(AG72:AM72)</f>
        <v>1</v>
      </c>
      <c r="AO72" s="7">
        <f>SUM(AG72:AL72)</f>
        <v>1</v>
      </c>
      <c r="AP72" s="7">
        <f>AN72-(AO72+AM72)</f>
        <v>0</v>
      </c>
    </row>
    <row r="73" spans="1:42" x14ac:dyDescent="0.2">
      <c r="A73">
        <f t="shared" si="5"/>
        <v>2018</v>
      </c>
      <c r="B73" s="2">
        <f t="shared" si="8"/>
        <v>973282.19846343773</v>
      </c>
      <c r="C73" s="2"/>
      <c r="D73" s="2"/>
      <c r="E73" s="2"/>
      <c r="F73" s="2"/>
      <c r="G73" s="2"/>
      <c r="H73" s="2"/>
      <c r="I73" s="2">
        <f>SUM(B73:H73)</f>
        <v>973282.19846343773</v>
      </c>
      <c r="J73" s="2">
        <f>I73-I72</f>
        <v>-56564.201644339017</v>
      </c>
      <c r="K73" s="83">
        <f>(J73/I72)</f>
        <v>-5.4924891360905267E-2</v>
      </c>
      <c r="L73" s="7">
        <f>K73+1</f>
        <v>0.94507510863909472</v>
      </c>
      <c r="N73">
        <f>A73</f>
        <v>2018</v>
      </c>
      <c r="O73" s="2">
        <f t="shared" si="14"/>
        <v>10939.146884505193</v>
      </c>
      <c r="P73" s="2"/>
      <c r="R73">
        <f>A73</f>
        <v>2018</v>
      </c>
      <c r="S73" s="2">
        <f>B73-($O73)</f>
        <v>962343.05157893256</v>
      </c>
      <c r="T73" s="2"/>
      <c r="U73" s="2"/>
      <c r="V73" s="2"/>
      <c r="W73" s="2"/>
      <c r="X73" s="2"/>
      <c r="Y73" s="2"/>
      <c r="Z73" s="2">
        <f>SUM(S73:Y73)</f>
        <v>962343.05157893256</v>
      </c>
      <c r="AA73" s="2">
        <f>Z73-Z72</f>
        <v>-56800.611733567785</v>
      </c>
      <c r="AB73" s="83">
        <f>(AA73/Z72)</f>
        <v>-5.5733665211585577E-2</v>
      </c>
      <c r="AC73" s="7">
        <f>AB73+1</f>
        <v>0.94426633478841437</v>
      </c>
      <c r="AD73" s="2">
        <f>Z73-(I73-O73)</f>
        <v>0</v>
      </c>
      <c r="AF73">
        <f>A73</f>
        <v>2018</v>
      </c>
      <c r="AG73" s="6">
        <f>S73/$Z73</f>
        <v>1</v>
      </c>
      <c r="AH73" s="7"/>
      <c r="AI73" s="6">
        <f t="shared" si="34"/>
        <v>0</v>
      </c>
      <c r="AJ73" s="6">
        <f t="shared" si="34"/>
        <v>0</v>
      </c>
      <c r="AK73" s="7"/>
      <c r="AL73" s="6">
        <f t="shared" si="35"/>
        <v>0</v>
      </c>
      <c r="AM73" s="6">
        <f t="shared" si="35"/>
        <v>0</v>
      </c>
      <c r="AN73" s="6">
        <f>SUM(AG73:AM73)</f>
        <v>1</v>
      </c>
      <c r="AO73" s="7">
        <f>SUM(AG73:AL73)</f>
        <v>1</v>
      </c>
      <c r="AP73" s="7">
        <f>AN73-(AO73+AM73)</f>
        <v>0</v>
      </c>
    </row>
    <row r="74" spans="1:42" x14ac:dyDescent="0.2">
      <c r="A74">
        <f t="shared" si="5"/>
        <v>2019</v>
      </c>
      <c r="B74" s="2">
        <f t="shared" si="8"/>
        <v>1265057.6818836015</v>
      </c>
      <c r="C74" s="2"/>
      <c r="D74" s="2"/>
      <c r="E74" s="2"/>
      <c r="F74" s="2"/>
      <c r="G74" s="2"/>
      <c r="H74" s="2"/>
      <c r="I74" s="2">
        <f>SUM(B74:H74)</f>
        <v>1265057.6818836015</v>
      </c>
      <c r="J74" s="2">
        <f>I74-I73</f>
        <v>291775.48342016374</v>
      </c>
      <c r="K74" s="83">
        <f>(J74/I73)</f>
        <v>0.29978508173765245</v>
      </c>
      <c r="L74" s="7">
        <f>K74+1</f>
        <v>1.2997850817376524</v>
      </c>
      <c r="N74">
        <f t="shared" ref="N74:N75" si="36">A74</f>
        <v>2019</v>
      </c>
      <c r="O74" s="2">
        <f t="shared" ref="O74:O75" si="37">O73*(1+O35)</f>
        <v>11189.248342222418</v>
      </c>
      <c r="P74" s="2"/>
      <c r="R74">
        <f t="shared" ref="R74:R75" si="38">A74</f>
        <v>2019</v>
      </c>
      <c r="S74" s="2">
        <f t="shared" ref="S74:S75" si="39">B74-($O74)</f>
        <v>1253868.4335413789</v>
      </c>
      <c r="T74" s="2"/>
      <c r="U74" s="2"/>
      <c r="V74" s="2"/>
      <c r="W74" s="2"/>
      <c r="X74" s="2"/>
      <c r="Y74" s="2"/>
      <c r="Z74" s="2">
        <f t="shared" ref="Z74:Z75" si="40">SUM(S74:Y74)</f>
        <v>1253868.4335413789</v>
      </c>
      <c r="AA74" s="2">
        <f t="shared" ref="AA74:AA75" si="41">Z74-Z73</f>
        <v>291525.38196244638</v>
      </c>
      <c r="AB74" s="83">
        <f t="shared" ref="AB74:AB75" si="42">(AA74/Z73)</f>
        <v>0.30293291096572655</v>
      </c>
      <c r="AC74" s="7">
        <f t="shared" ref="AC74:AC75" si="43">AB74+1</f>
        <v>1.3029329109657266</v>
      </c>
      <c r="AD74" s="2">
        <f t="shared" ref="AD74:AD75" si="44">Z74-(I74-O74)</f>
        <v>0</v>
      </c>
      <c r="AF74">
        <f t="shared" ref="AF74:AF75" si="45">A74</f>
        <v>2019</v>
      </c>
      <c r="AG74" s="6">
        <f t="shared" ref="AG74:AG75" si="46">S74/$Z74</f>
        <v>1</v>
      </c>
      <c r="AH74" s="7"/>
      <c r="AI74" s="6">
        <f t="shared" ref="AI74:AI75" si="47">U74/$Z74</f>
        <v>0</v>
      </c>
      <c r="AJ74" s="6">
        <f t="shared" ref="AJ74:AJ75" si="48">V74/$Z74</f>
        <v>0</v>
      </c>
      <c r="AK74" s="7"/>
      <c r="AL74" s="6">
        <f t="shared" ref="AL74:AL75" si="49">X74/$Z74</f>
        <v>0</v>
      </c>
      <c r="AM74" s="6">
        <f t="shared" ref="AM74:AM75" si="50">Y74/$Z74</f>
        <v>0</v>
      </c>
      <c r="AN74" s="6">
        <f t="shared" ref="AN74:AN75" si="51">SUM(AG74:AM74)</f>
        <v>1</v>
      </c>
      <c r="AO74" s="7">
        <f t="shared" ref="AO74:AO75" si="52">SUM(AG74:AL74)</f>
        <v>1</v>
      </c>
      <c r="AP74" s="7">
        <f t="shared" ref="AP74:AP75" si="53">AN74-(AO74+AM74)</f>
        <v>0</v>
      </c>
    </row>
    <row r="75" spans="1:42" x14ac:dyDescent="0.2">
      <c r="A75">
        <f t="shared" si="5"/>
        <v>2020</v>
      </c>
      <c r="B75" s="2">
        <f t="shared" si="8"/>
        <v>1484204.0647829303</v>
      </c>
      <c r="C75" s="2"/>
      <c r="D75" s="2"/>
      <c r="E75" s="2"/>
      <c r="F75" s="2"/>
      <c r="G75" s="2"/>
      <c r="H75" s="2"/>
      <c r="I75" s="2">
        <f>SUM(B75:H75)</f>
        <v>1484204.0647829303</v>
      </c>
      <c r="J75" s="2">
        <f>I75-I74</f>
        <v>219146.38289932883</v>
      </c>
      <c r="K75" s="83">
        <f>(J75/I74)</f>
        <v>0.17323034833718562</v>
      </c>
      <c r="L75" s="7">
        <f>K75+1</f>
        <v>1.1732303483371855</v>
      </c>
      <c r="N75">
        <f t="shared" si="36"/>
        <v>2020</v>
      </c>
      <c r="O75" s="2">
        <f t="shared" si="37"/>
        <v>11316.67242475869</v>
      </c>
      <c r="P75" s="2"/>
      <c r="R75">
        <f t="shared" si="38"/>
        <v>2020</v>
      </c>
      <c r="S75" s="2">
        <f t="shared" si="39"/>
        <v>1472887.3923581715</v>
      </c>
      <c r="T75" s="2"/>
      <c r="U75" s="2"/>
      <c r="V75" s="2"/>
      <c r="W75" s="2"/>
      <c r="X75" s="2"/>
      <c r="Y75" s="2"/>
      <c r="Z75" s="2">
        <f t="shared" si="40"/>
        <v>1472887.3923581715</v>
      </c>
      <c r="AA75" s="2">
        <f t="shared" si="41"/>
        <v>219018.95881679258</v>
      </c>
      <c r="AB75" s="83">
        <f t="shared" si="42"/>
        <v>0.17467459340865904</v>
      </c>
      <c r="AC75" s="7">
        <f t="shared" si="43"/>
        <v>1.1746745934086591</v>
      </c>
      <c r="AD75" s="2">
        <f t="shared" si="44"/>
        <v>0</v>
      </c>
      <c r="AF75">
        <f t="shared" si="45"/>
        <v>2020</v>
      </c>
      <c r="AG75" s="6">
        <f t="shared" si="46"/>
        <v>1</v>
      </c>
      <c r="AH75" s="7"/>
      <c r="AI75" s="6">
        <f t="shared" si="47"/>
        <v>0</v>
      </c>
      <c r="AJ75" s="6">
        <f t="shared" si="48"/>
        <v>0</v>
      </c>
      <c r="AK75" s="7"/>
      <c r="AL75" s="6">
        <f t="shared" si="49"/>
        <v>0</v>
      </c>
      <c r="AM75" s="6">
        <f t="shared" si="50"/>
        <v>0</v>
      </c>
      <c r="AN75" s="6">
        <f t="shared" si="51"/>
        <v>1</v>
      </c>
      <c r="AO75" s="7">
        <f t="shared" si="52"/>
        <v>1</v>
      </c>
      <c r="AP75" s="7">
        <f t="shared" si="53"/>
        <v>0</v>
      </c>
    </row>
    <row r="76" spans="1:42" x14ac:dyDescent="0.2">
      <c r="A76" s="9" t="s">
        <v>94</v>
      </c>
      <c r="B76" s="10">
        <f>S76</f>
        <v>1472887.3923581715</v>
      </c>
      <c r="C76" s="10"/>
      <c r="D76" s="10">
        <f>U76</f>
        <v>0</v>
      </c>
      <c r="E76" s="10">
        <f>V76</f>
        <v>0</v>
      </c>
      <c r="F76" s="10"/>
      <c r="G76" s="10">
        <f>X76</f>
        <v>0</v>
      </c>
      <c r="H76" s="10">
        <f>Y76</f>
        <v>0</v>
      </c>
      <c r="I76" s="10">
        <f>SUM(B76:H76)</f>
        <v>1472887.3923581715</v>
      </c>
      <c r="J76" s="10"/>
      <c r="K76" s="10"/>
      <c r="N76" t="s">
        <v>156</v>
      </c>
      <c r="O76" s="2">
        <f>O75</f>
        <v>11316.67242475869</v>
      </c>
      <c r="P76" s="2"/>
      <c r="R76" s="81" t="s">
        <v>94</v>
      </c>
      <c r="S76" s="10">
        <f>S75</f>
        <v>1472887.3923581715</v>
      </c>
      <c r="T76" s="10"/>
      <c r="U76" s="10">
        <f>U75</f>
        <v>0</v>
      </c>
      <c r="V76" s="10">
        <f>V75</f>
        <v>0</v>
      </c>
      <c r="W76" s="10"/>
      <c r="X76" s="10">
        <f>X75</f>
        <v>0</v>
      </c>
      <c r="Y76" s="10">
        <f>Y75</f>
        <v>0</v>
      </c>
      <c r="Z76" s="10">
        <f>Z75</f>
        <v>1472887.3923581715</v>
      </c>
      <c r="AA76" s="43"/>
      <c r="AB76" s="43"/>
      <c r="AC76" s="43"/>
      <c r="AD76" s="43"/>
      <c r="AF76" s="74" t="s">
        <v>132</v>
      </c>
      <c r="AG76" s="88">
        <f>AG73</f>
        <v>1</v>
      </c>
      <c r="AH76" s="74"/>
      <c r="AI76" s="88">
        <f>AI73</f>
        <v>0</v>
      </c>
      <c r="AJ76" s="74"/>
      <c r="AK76" s="74"/>
      <c r="AL76" s="88">
        <f>AL73</f>
        <v>0</v>
      </c>
      <c r="AM76" s="88">
        <f>AM73</f>
        <v>0</v>
      </c>
      <c r="AN76" s="88">
        <f>AN73</f>
        <v>1</v>
      </c>
      <c r="AO76" s="88">
        <f>AO73</f>
        <v>1</v>
      </c>
      <c r="AP76" s="88">
        <f>AP73</f>
        <v>0</v>
      </c>
    </row>
    <row r="77" spans="1:42" x14ac:dyDescent="0.2">
      <c r="A77" s="11" t="s">
        <v>157</v>
      </c>
      <c r="I77" s="6">
        <f>(Z76-Z42)/Z42</f>
        <v>13.728873923581714</v>
      </c>
      <c r="K77" s="6"/>
      <c r="N77" t="s">
        <v>67</v>
      </c>
      <c r="O77" s="2">
        <f>SUM(O43:O75)</f>
        <v>275752.22539685271</v>
      </c>
      <c r="P77" s="2"/>
      <c r="AI77" s="7"/>
    </row>
    <row r="78" spans="1:42" x14ac:dyDescent="0.2">
      <c r="A78" s="1" t="s">
        <v>158</v>
      </c>
      <c r="I78" s="12">
        <f>STDEV(AC43:AC75)</f>
        <v>0.16764097304729628</v>
      </c>
      <c r="AJ78" s="89"/>
      <c r="AK78" s="89"/>
      <c r="AL78" s="90" t="s">
        <v>134</v>
      </c>
      <c r="AM78" s="89" t="b">
        <f>IF((AM73=AM76),TRUE,FALSE)</f>
        <v>1</v>
      </c>
      <c r="AN78" s="89"/>
      <c r="AO78" s="91" t="b">
        <f>IF(((SUM(AG75:AL75))=AO76),TRUE,FALSE)</f>
        <v>1</v>
      </c>
    </row>
    <row r="79" spans="1:42" x14ac:dyDescent="0.2">
      <c r="A79" s="1" t="s">
        <v>159</v>
      </c>
      <c r="I79" s="13">
        <f>((1+I77)^(1/I86))-1</f>
        <v>9.0643683659088481E-2</v>
      </c>
    </row>
    <row r="80" spans="1:42" x14ac:dyDescent="0.2">
      <c r="A80" s="1" t="s">
        <v>98</v>
      </c>
      <c r="I80" s="31">
        <f>J63</f>
        <v>-210098.56039365818</v>
      </c>
      <c r="O80" s="2"/>
      <c r="P80" s="2"/>
    </row>
    <row r="81" spans="1:9" x14ac:dyDescent="0.2">
      <c r="A81" s="1" t="s">
        <v>136</v>
      </c>
      <c r="I81" s="32">
        <f>K63</f>
        <v>-0.38064271415362783</v>
      </c>
    </row>
    <row r="82" spans="1:9" x14ac:dyDescent="0.2">
      <c r="A82" s="1" t="s">
        <v>103</v>
      </c>
      <c r="I82" s="2">
        <f>O77</f>
        <v>275752.22539685271</v>
      </c>
    </row>
    <row r="83" spans="1:9" x14ac:dyDescent="0.2">
      <c r="A83" s="3" t="s">
        <v>137</v>
      </c>
      <c r="I83" s="33">
        <f>I76-Z76</f>
        <v>0</v>
      </c>
    </row>
    <row r="84" spans="1:9" x14ac:dyDescent="0.2">
      <c r="A84" s="3" t="s">
        <v>138</v>
      </c>
      <c r="I84" s="33">
        <f>((SUM(AA43:AA75)))-(I76-I42)</f>
        <v>0</v>
      </c>
    </row>
    <row r="85" spans="1:9" x14ac:dyDescent="0.2">
      <c r="A85" s="3" t="s">
        <v>160</v>
      </c>
      <c r="I85" s="33">
        <f>(SUM(O43:O75))-I82</f>
        <v>0</v>
      </c>
    </row>
    <row r="86" spans="1:9" x14ac:dyDescent="0.2">
      <c r="A86" s="3" t="s">
        <v>139</v>
      </c>
      <c r="I86" s="3">
        <f>COUNTA(I43:I73)</f>
        <v>31</v>
      </c>
    </row>
    <row r="87" spans="1:9" x14ac:dyDescent="0.2">
      <c r="A87" s="95" t="s">
        <v>100</v>
      </c>
      <c r="B87" s="63"/>
      <c r="C87" s="63"/>
      <c r="D87" s="63"/>
      <c r="E87" s="63"/>
      <c r="G87" s="63"/>
      <c r="H87" s="63"/>
      <c r="I87" s="94">
        <f>AO76</f>
        <v>1</v>
      </c>
    </row>
    <row r="88" spans="1:9" x14ac:dyDescent="0.2">
      <c r="A88" s="95" t="s">
        <v>179</v>
      </c>
      <c r="B88" s="2"/>
      <c r="D88" s="2"/>
      <c r="E88" s="2"/>
      <c r="G88" s="2"/>
      <c r="H88" s="2"/>
      <c r="I88" s="94">
        <f>AM76</f>
        <v>0</v>
      </c>
    </row>
    <row r="89" spans="1:9" x14ac:dyDescent="0.2">
      <c r="B89" s="63"/>
      <c r="C89" s="63"/>
      <c r="D89" s="63"/>
      <c r="E89" s="63"/>
      <c r="G89" s="63"/>
      <c r="H89" s="63"/>
      <c r="I89" s="63"/>
    </row>
    <row r="90" spans="1:9" x14ac:dyDescent="0.2">
      <c r="B90" s="2"/>
      <c r="D90" s="2"/>
      <c r="E90" s="2"/>
      <c r="G90" s="2"/>
      <c r="H90" s="2"/>
      <c r="I90"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90"/>
  <sheetViews>
    <sheetView topLeftCell="Y33" zoomScale="120" zoomScaleNormal="120" workbookViewId="0">
      <selection activeCell="AI45" sqref="AI45"/>
    </sheetView>
  </sheetViews>
  <sheetFormatPr baseColWidth="10" defaultColWidth="8.83203125" defaultRowHeight="15" x14ac:dyDescent="0.2"/>
  <cols>
    <col min="1" max="1" width="25.5" customWidth="1"/>
    <col min="2"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104</v>
      </c>
      <c r="N1" s="82" t="s">
        <v>151</v>
      </c>
      <c r="O1" s="49"/>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9"/>
      <c r="O2" s="49"/>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42"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5" spans="1:42"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'4.5% Withdrawals-No Rebalancing'!N35</f>
        <v>2019</v>
      </c>
      <c r="O35" s="50">
        <f>'4.5% Withdrawals-No Rebalancing'!O35</f>
        <v>2.2862976460393248E-2</v>
      </c>
    </row>
    <row r="36" spans="1:42"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c r="N36" s="49">
        <f>'4.5% Withdrawals-No Rebalancing'!N36</f>
        <v>2020</v>
      </c>
      <c r="O36" s="50">
        <f>'4.5% Withdrawals-No Rebalancing'!O36</f>
        <v>1.1388082437623485E-2</v>
      </c>
    </row>
    <row r="39" spans="1:42" x14ac:dyDescent="0.2">
      <c r="A39" s="20" t="s">
        <v>119</v>
      </c>
      <c r="N39" s="20" t="s">
        <v>153</v>
      </c>
      <c r="R39" s="20" t="s">
        <v>154</v>
      </c>
      <c r="AF39" s="20" t="s">
        <v>155</v>
      </c>
    </row>
    <row r="40" spans="1:42"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Y40"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G40" s="4" t="str">
        <f t="shared" ref="AG40:AM41" si="2">B40</f>
        <v>LC Stocks</v>
      </c>
      <c r="AH40" s="4" t="str">
        <f t="shared" si="2"/>
        <v>Ext Mkt</v>
      </c>
      <c r="AI40" s="4" t="str">
        <f t="shared" si="2"/>
        <v>Mcap Stk</v>
      </c>
      <c r="AJ40" s="4" t="str">
        <f t="shared" si="2"/>
        <v>Small Cap</v>
      </c>
      <c r="AK40" s="4" t="str">
        <f t="shared" si="2"/>
        <v>Intl Val</v>
      </c>
      <c r="AL40" s="4" t="str">
        <f t="shared" si="2"/>
        <v>Tot Int Stk</v>
      </c>
      <c r="AM40" s="4" t="str">
        <f t="shared" si="2"/>
        <v>Bonds</v>
      </c>
      <c r="AN40" s="5"/>
      <c r="AO40" s="5" t="s">
        <v>124</v>
      </c>
      <c r="AP40" s="5" t="s">
        <v>125</v>
      </c>
    </row>
    <row r="41" spans="1:42"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ref="S41" si="3">B41</f>
        <v>VFIAX</v>
      </c>
      <c r="T41" s="4" t="str">
        <f t="shared" ref="T41:T42" si="4">C41</f>
        <v>VEXMX</v>
      </c>
      <c r="U41" s="4" t="str">
        <f t="shared" ref="U41:U42" si="5">D41</f>
        <v>VIMAX</v>
      </c>
      <c r="V41" s="4" t="str">
        <f t="shared" ref="V41:V42" si="6">E41</f>
        <v>VSMAX</v>
      </c>
      <c r="W41" s="4" t="str">
        <f t="shared" ref="W41:W42" si="7">F41</f>
        <v>VTRIX</v>
      </c>
      <c r="X41" s="4" t="str">
        <f t="shared" ref="X41:X42" si="8">G41</f>
        <v>VTIAX</v>
      </c>
      <c r="Y41" s="4" t="str">
        <f t="shared" ref="Y41:Y42" si="9">H41</f>
        <v>VBTLX</v>
      </c>
      <c r="Z41" s="5" t="str">
        <f t="shared" ref="Z41:Z42" si="10">I41</f>
        <v>Total</v>
      </c>
      <c r="AA41" s="5" t="s">
        <v>127</v>
      </c>
      <c r="AB41" s="5" t="s">
        <v>128</v>
      </c>
      <c r="AC41" s="5" t="s">
        <v>128</v>
      </c>
      <c r="AD41" s="5" t="s">
        <v>129</v>
      </c>
      <c r="AF41" t="s">
        <v>126</v>
      </c>
      <c r="AG41" s="4" t="str">
        <f t="shared" si="2"/>
        <v>VFIAX</v>
      </c>
      <c r="AH41" s="4" t="str">
        <f t="shared" si="2"/>
        <v>VEXMX</v>
      </c>
      <c r="AI41" s="4" t="str">
        <f t="shared" si="2"/>
        <v>VIMAX</v>
      </c>
      <c r="AJ41" s="4" t="str">
        <f t="shared" si="2"/>
        <v>VSMAX</v>
      </c>
      <c r="AK41" s="4" t="str">
        <f t="shared" si="2"/>
        <v>VTRIX</v>
      </c>
      <c r="AL41" s="4" t="str">
        <f t="shared" si="2"/>
        <v>VTIAX</v>
      </c>
      <c r="AM41" s="4" t="str">
        <f t="shared" si="2"/>
        <v>VBTLX</v>
      </c>
      <c r="AN41" s="5" t="s">
        <v>67</v>
      </c>
      <c r="AO41" s="5" t="s">
        <v>125</v>
      </c>
      <c r="AP41" s="5" t="s">
        <v>129</v>
      </c>
    </row>
    <row r="42" spans="1:42"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4"/>
        <v>25000</v>
      </c>
      <c r="U42" s="2">
        <f t="shared" si="5"/>
        <v>0</v>
      </c>
      <c r="V42" s="2">
        <f t="shared" si="6"/>
        <v>0</v>
      </c>
      <c r="W42" s="2">
        <f t="shared" si="7"/>
        <v>15000</v>
      </c>
      <c r="X42" s="2">
        <f t="shared" si="8"/>
        <v>0</v>
      </c>
      <c r="Y42" s="2">
        <f t="shared" si="9"/>
        <v>40000</v>
      </c>
      <c r="Z42" s="2">
        <f t="shared" si="10"/>
        <v>100000</v>
      </c>
      <c r="AD42" s="2"/>
      <c r="AF42" s="21" t="s">
        <v>131</v>
      </c>
      <c r="AG42" s="6">
        <f t="shared" ref="AG42:AG53" si="11">S42/$Z42</f>
        <v>0.2</v>
      </c>
      <c r="AH42" s="6">
        <f t="shared" ref="AH42:AH53" si="12">T42/$Z42</f>
        <v>0.25</v>
      </c>
      <c r="AI42" s="23">
        <v>0.15</v>
      </c>
      <c r="AJ42" s="23">
        <v>0.1</v>
      </c>
      <c r="AK42" s="6">
        <f t="shared" ref="AK42:AK51" si="13">W42/$Z42</f>
        <v>0.15</v>
      </c>
      <c r="AL42" s="23">
        <v>0.2</v>
      </c>
      <c r="AM42" s="6">
        <f>Y42/$Z42</f>
        <v>0.4</v>
      </c>
      <c r="AN42" s="6">
        <f>Z42/$Z42</f>
        <v>1</v>
      </c>
      <c r="AO42" s="24"/>
    </row>
    <row r="43" spans="1:42" x14ac:dyDescent="0.2">
      <c r="A43">
        <f t="shared" ref="A43:A73" si="14">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83">
        <f>(J43/I42)</f>
        <v>0.13937449999999982</v>
      </c>
      <c r="L43" s="7">
        <f>K43+1</f>
        <v>1.1393744999999997</v>
      </c>
      <c r="N43">
        <f>A43</f>
        <v>1988</v>
      </c>
      <c r="O43" s="2">
        <f>I43*0.04</f>
        <v>4557.4979999999996</v>
      </c>
      <c r="P43" s="2"/>
      <c r="Q43" s="2"/>
      <c r="R43">
        <f>A43</f>
        <v>1988</v>
      </c>
      <c r="S43" s="2">
        <f>B43-($O43/4)</f>
        <v>22104.625499999995</v>
      </c>
      <c r="T43" s="2">
        <f>C43-($O43/4)</f>
        <v>28797.375500000002</v>
      </c>
      <c r="U43" s="2"/>
      <c r="V43" s="2"/>
      <c r="W43" s="2">
        <f t="shared" ref="W43:W51" si="15">F43-($O43/4)</f>
        <v>16677.325499999999</v>
      </c>
      <c r="X43" s="2"/>
      <c r="Y43" s="2">
        <f>H43-($O43/4)</f>
        <v>41800.625499999995</v>
      </c>
      <c r="Z43" s="2">
        <f>SUM(S43:Y43)</f>
        <v>109379.95199999999</v>
      </c>
      <c r="AA43" s="2">
        <f>Z43-Z42</f>
        <v>9379.9519999999902</v>
      </c>
      <c r="AB43" s="83">
        <f>(AA43/Z42)</f>
        <v>9.37995199999999E-2</v>
      </c>
      <c r="AC43" s="7">
        <f>AB43+1</f>
        <v>1.0937995199999999</v>
      </c>
      <c r="AD43" s="2">
        <f>Z43-(I43-O43)</f>
        <v>0</v>
      </c>
      <c r="AF43">
        <f t="shared" ref="AF43:AF67" si="16">A43</f>
        <v>1988</v>
      </c>
      <c r="AG43" s="6">
        <f t="shared" si="11"/>
        <v>0.20209028341866522</v>
      </c>
      <c r="AH43" s="6">
        <f t="shared" si="12"/>
        <v>0.26327837024466794</v>
      </c>
      <c r="AI43" s="7"/>
      <c r="AJ43" s="7"/>
      <c r="AK43" s="6">
        <f t="shared" si="13"/>
        <v>0.15247150135885962</v>
      </c>
      <c r="AL43" s="7"/>
      <c r="AM43" s="6">
        <f t="shared" ref="AM43:AM67" si="17">Y43/$Z43</f>
        <v>0.38215984497780725</v>
      </c>
      <c r="AN43" s="6">
        <f>SUM(AG43:AM43)</f>
        <v>1</v>
      </c>
      <c r="AO43" s="7">
        <f>SUM(AG43:AL43)</f>
        <v>0.61784015502219281</v>
      </c>
      <c r="AP43" s="7">
        <f>AN43-(AO43+AM43)</f>
        <v>0</v>
      </c>
    </row>
    <row r="44" spans="1:42" x14ac:dyDescent="0.2">
      <c r="A44">
        <f t="shared" si="14"/>
        <v>1989</v>
      </c>
      <c r="B44" s="2">
        <f t="shared" ref="B44:B53" si="18">S43*(1+(B5/100))</f>
        <v>29036.636056799995</v>
      </c>
      <c r="C44" s="2">
        <f t="shared" ref="C44:C53" si="19">T43*(1+(C5/100))</f>
        <v>35736.391100480003</v>
      </c>
      <c r="D44" s="2"/>
      <c r="E44" s="2"/>
      <c r="F44" s="2">
        <f t="shared" ref="F44:F51" si="20">W43*(1+(F5/100))</f>
        <v>21008.593705604999</v>
      </c>
      <c r="G44" s="2"/>
      <c r="H44" s="2">
        <f t="shared" ref="H44:H69" si="21">Y43*(1+(H5/100))</f>
        <v>47502.230818199998</v>
      </c>
      <c r="I44" s="2">
        <f t="shared" ref="I44:I67" si="22">SUM(B44:H44)</f>
        <v>133283.85168108501</v>
      </c>
      <c r="J44" s="2">
        <f t="shared" ref="J44:J67" si="23">I44-I43</f>
        <v>19346.40168108503</v>
      </c>
      <c r="K44" s="83">
        <f t="shared" ref="K44:K67" si="24">(J44/I43)</f>
        <v>0.16979844362924598</v>
      </c>
      <c r="L44" s="7">
        <f t="shared" ref="L44:L67" si="25">K44+1</f>
        <v>1.1697984436292459</v>
      </c>
      <c r="N44">
        <f t="shared" ref="N44:N67" si="26">A44</f>
        <v>1989</v>
      </c>
      <c r="O44" s="2">
        <f t="shared" ref="O44:O73" si="27">O43*(1+O5)</f>
        <v>4767.1429079999998</v>
      </c>
      <c r="P44" s="2"/>
      <c r="Q44" s="2"/>
      <c r="R44">
        <f t="shared" ref="R44:R51" si="28">A44</f>
        <v>1989</v>
      </c>
      <c r="S44" s="2">
        <f t="shared" ref="S44:S51" si="29">B44-($O44/4)</f>
        <v>27844.850329799996</v>
      </c>
      <c r="T44" s="2">
        <f t="shared" ref="T44:T51" si="30">C44-($O44/4)</f>
        <v>34544.605373480001</v>
      </c>
      <c r="U44" s="2"/>
      <c r="V44" s="2"/>
      <c r="W44" s="2">
        <f t="shared" si="15"/>
        <v>19816.807978605</v>
      </c>
      <c r="X44" s="2"/>
      <c r="Y44" s="2">
        <f t="shared" ref="Y44:Y52" si="31">H44-($O44/4)</f>
        <v>46310.445091199996</v>
      </c>
      <c r="Z44" s="2">
        <f t="shared" ref="Z44:Z51" si="32">SUM(S44:Y44)</f>
        <v>128516.708773085</v>
      </c>
      <c r="AA44" s="2">
        <f t="shared" ref="AA44:AA58" si="33">Z44-Z43</f>
        <v>19136.756773085013</v>
      </c>
      <c r="AB44" s="83">
        <f t="shared" ref="AB44:AB58" si="34">(AA44/Z43)</f>
        <v>0.17495671211379774</v>
      </c>
      <c r="AC44" s="7">
        <f t="shared" ref="AC44:AC67" si="35">AB44+1</f>
        <v>1.1749567121137978</v>
      </c>
      <c r="AD44" s="2">
        <f t="shared" ref="AD44:AD67" si="36">Z44-(I44-O44)</f>
        <v>0</v>
      </c>
      <c r="AF44">
        <f t="shared" si="16"/>
        <v>1989</v>
      </c>
      <c r="AG44" s="6">
        <f t="shared" si="11"/>
        <v>0.2166632696684144</v>
      </c>
      <c r="AH44" s="6">
        <f t="shared" si="12"/>
        <v>0.26879466260277129</v>
      </c>
      <c r="AI44" s="7"/>
      <c r="AJ44" s="7"/>
      <c r="AK44" s="6">
        <f t="shared" si="13"/>
        <v>0.1541963544490893</v>
      </c>
      <c r="AL44" s="7"/>
      <c r="AM44" s="6">
        <f t="shared" si="17"/>
        <v>0.36034571327972492</v>
      </c>
      <c r="AN44" s="6">
        <f t="shared" ref="AN44:AN67" si="37">SUM(AG44:AM44)</f>
        <v>1</v>
      </c>
      <c r="AO44" s="7">
        <f t="shared" ref="AO44:AO67" si="38">SUM(AG44:AL44)</f>
        <v>0.63965428672027502</v>
      </c>
      <c r="AP44" s="7">
        <f t="shared" ref="AP44:AP67" si="39">AN44-(AO44+AM44)</f>
        <v>0</v>
      </c>
    </row>
    <row r="45" spans="1:42" x14ac:dyDescent="0.2">
      <c r="A45">
        <f t="shared" si="14"/>
        <v>1990</v>
      </c>
      <c r="B45" s="2">
        <f t="shared" si="18"/>
        <v>26920.401298850637</v>
      </c>
      <c r="C45" s="2">
        <f t="shared" si="19"/>
        <v>29692.815548774735</v>
      </c>
      <c r="D45" s="2"/>
      <c r="E45" s="2"/>
      <c r="F45" s="2">
        <f t="shared" si="20"/>
        <v>17387.267320428025</v>
      </c>
      <c r="G45" s="2"/>
      <c r="H45" s="2">
        <f t="shared" si="21"/>
        <v>50316.298591588798</v>
      </c>
      <c r="I45" s="2">
        <f t="shared" ref="I45:I51" si="40">SUM(B45:H45)</f>
        <v>124316.7827596422</v>
      </c>
      <c r="J45" s="2">
        <f t="shared" si="23"/>
        <v>-8967.068921442813</v>
      </c>
      <c r="K45" s="83">
        <f t="shared" si="24"/>
        <v>-6.7277984604607391E-2</v>
      </c>
      <c r="L45" s="7">
        <f t="shared" si="25"/>
        <v>0.93272201539539257</v>
      </c>
      <c r="N45">
        <f t="shared" si="26"/>
        <v>1990</v>
      </c>
      <c r="O45" s="2">
        <f t="shared" si="27"/>
        <v>5067.4729112039995</v>
      </c>
      <c r="P45" s="2"/>
      <c r="Q45" s="2"/>
      <c r="R45">
        <f t="shared" si="28"/>
        <v>1990</v>
      </c>
      <c r="S45" s="2">
        <f t="shared" si="29"/>
        <v>25653.533071049638</v>
      </c>
      <c r="T45" s="2">
        <f t="shared" si="30"/>
        <v>28425.947320973737</v>
      </c>
      <c r="U45" s="2"/>
      <c r="V45" s="2"/>
      <c r="W45" s="2">
        <f t="shared" si="15"/>
        <v>16120.399092627025</v>
      </c>
      <c r="X45" s="2"/>
      <c r="Y45" s="2">
        <f t="shared" si="31"/>
        <v>49049.430363787797</v>
      </c>
      <c r="Z45" s="2">
        <f t="shared" si="32"/>
        <v>119249.30984843819</v>
      </c>
      <c r="AA45" s="2">
        <f t="shared" si="33"/>
        <v>-9267.3989246468118</v>
      </c>
      <c r="AB45" s="83">
        <f t="shared" si="34"/>
        <v>-7.2110459512387273E-2</v>
      </c>
      <c r="AC45" s="7">
        <f t="shared" si="35"/>
        <v>0.92788954048761274</v>
      </c>
      <c r="AD45" s="2">
        <f t="shared" si="36"/>
        <v>0</v>
      </c>
      <c r="AF45">
        <f t="shared" si="16"/>
        <v>1990</v>
      </c>
      <c r="AG45" s="6">
        <f t="shared" si="11"/>
        <v>0.21512521207589716</v>
      </c>
      <c r="AH45" s="6">
        <f t="shared" si="12"/>
        <v>0.23837410344011339</v>
      </c>
      <c r="AI45" s="7"/>
      <c r="AJ45" s="7"/>
      <c r="AK45" s="6">
        <f t="shared" si="13"/>
        <v>0.13518232611254105</v>
      </c>
      <c r="AL45" s="7"/>
      <c r="AM45" s="6">
        <f t="shared" si="17"/>
        <v>0.41131835837144842</v>
      </c>
      <c r="AN45" s="6">
        <f t="shared" si="37"/>
        <v>1</v>
      </c>
      <c r="AO45" s="7">
        <f t="shared" si="38"/>
        <v>0.58868164162855163</v>
      </c>
      <c r="AP45" s="7">
        <f t="shared" si="39"/>
        <v>0</v>
      </c>
    </row>
    <row r="46" spans="1:42" x14ac:dyDescent="0.2">
      <c r="A46">
        <f t="shared" si="14"/>
        <v>1991</v>
      </c>
      <c r="B46" s="2">
        <f t="shared" si="18"/>
        <v>33406.030765120842</v>
      </c>
      <c r="C46" s="2">
        <f t="shared" si="19"/>
        <v>40322.206274801247</v>
      </c>
      <c r="D46" s="2"/>
      <c r="E46" s="2"/>
      <c r="F46" s="2">
        <f t="shared" si="20"/>
        <v>17725.346026288975</v>
      </c>
      <c r="G46" s="2"/>
      <c r="H46" s="2">
        <f t="shared" si="21"/>
        <v>56529.468494265442</v>
      </c>
      <c r="I46" s="2">
        <f t="shared" si="40"/>
        <v>147983.05156047651</v>
      </c>
      <c r="J46" s="2">
        <f t="shared" si="23"/>
        <v>23666.26880083431</v>
      </c>
      <c r="K46" s="83">
        <f t="shared" si="24"/>
        <v>0.19037066657839261</v>
      </c>
      <c r="L46" s="7">
        <f t="shared" si="25"/>
        <v>1.1903706665783926</v>
      </c>
      <c r="N46">
        <f t="shared" si="26"/>
        <v>1991</v>
      </c>
      <c r="O46" s="2">
        <f t="shared" si="27"/>
        <v>5219.4970985401196</v>
      </c>
      <c r="P46" s="2"/>
      <c r="Q46" s="2"/>
      <c r="R46">
        <f t="shared" si="28"/>
        <v>1991</v>
      </c>
      <c r="S46" s="2">
        <f t="shared" si="29"/>
        <v>32101.156490485813</v>
      </c>
      <c r="T46" s="2">
        <f t="shared" si="30"/>
        <v>39017.332000166214</v>
      </c>
      <c r="U46" s="2"/>
      <c r="V46" s="2"/>
      <c r="W46" s="2">
        <f t="shared" si="15"/>
        <v>16420.471751653946</v>
      </c>
      <c r="X46" s="2"/>
      <c r="Y46" s="2">
        <f t="shared" si="31"/>
        <v>55224.594219630409</v>
      </c>
      <c r="Z46" s="2">
        <f t="shared" si="32"/>
        <v>142763.55446193638</v>
      </c>
      <c r="AA46" s="2">
        <f t="shared" si="33"/>
        <v>23514.244613498187</v>
      </c>
      <c r="AB46" s="83">
        <f t="shared" si="34"/>
        <v>0.19718558240197775</v>
      </c>
      <c r="AC46" s="7">
        <f t="shared" si="35"/>
        <v>1.1971855824019777</v>
      </c>
      <c r="AD46" s="2">
        <f t="shared" si="36"/>
        <v>0</v>
      </c>
      <c r="AF46">
        <f t="shared" si="16"/>
        <v>1991</v>
      </c>
      <c r="AG46" s="6">
        <f t="shared" si="11"/>
        <v>0.22485540242726743</v>
      </c>
      <c r="AH46" s="6">
        <f t="shared" si="12"/>
        <v>0.27330036820124853</v>
      </c>
      <c r="AI46" s="7"/>
      <c r="AJ46" s="7"/>
      <c r="AK46" s="6">
        <f t="shared" si="13"/>
        <v>0.11501865313974073</v>
      </c>
      <c r="AL46" s="7"/>
      <c r="AM46" s="6">
        <f t="shared" si="17"/>
        <v>0.3868255762317433</v>
      </c>
      <c r="AN46" s="6">
        <f t="shared" si="37"/>
        <v>1</v>
      </c>
      <c r="AO46" s="7">
        <f t="shared" si="38"/>
        <v>0.6131744237682567</v>
      </c>
      <c r="AP46" s="7">
        <f t="shared" si="39"/>
        <v>0</v>
      </c>
    </row>
    <row r="47" spans="1:42" x14ac:dyDescent="0.2">
      <c r="A47">
        <f t="shared" si="14"/>
        <v>1992</v>
      </c>
      <c r="B47" s="2">
        <f t="shared" si="18"/>
        <v>34483.062302079859</v>
      </c>
      <c r="C47" s="2">
        <f t="shared" si="19"/>
        <v>43881.232607306934</v>
      </c>
      <c r="D47" s="2"/>
      <c r="E47" s="2"/>
      <c r="F47" s="2">
        <f t="shared" si="20"/>
        <v>14988.442410192205</v>
      </c>
      <c r="G47" s="2"/>
      <c r="H47" s="2">
        <f t="shared" si="21"/>
        <v>59167.630246912013</v>
      </c>
      <c r="I47" s="2">
        <f t="shared" si="40"/>
        <v>152520.36756649101</v>
      </c>
      <c r="J47" s="2">
        <f t="shared" si="23"/>
        <v>4537.3160060145019</v>
      </c>
      <c r="K47" s="83">
        <f t="shared" si="24"/>
        <v>3.0661051777001833E-2</v>
      </c>
      <c r="L47" s="7">
        <f t="shared" si="25"/>
        <v>1.0306610517770018</v>
      </c>
      <c r="N47">
        <f t="shared" si="26"/>
        <v>1992</v>
      </c>
      <c r="O47" s="2">
        <f t="shared" si="27"/>
        <v>5376.0820114963235</v>
      </c>
      <c r="P47" s="2"/>
      <c r="Q47" s="2"/>
      <c r="R47">
        <f t="shared" si="28"/>
        <v>1992</v>
      </c>
      <c r="S47" s="2">
        <f t="shared" si="29"/>
        <v>33139.041799205777</v>
      </c>
      <c r="T47" s="2">
        <f t="shared" si="30"/>
        <v>42537.212104432852</v>
      </c>
      <c r="U47" s="2"/>
      <c r="V47" s="2"/>
      <c r="W47" s="2">
        <f t="shared" si="15"/>
        <v>13644.421907318125</v>
      </c>
      <c r="X47" s="2"/>
      <c r="Y47" s="2">
        <f t="shared" si="31"/>
        <v>57823.609744037931</v>
      </c>
      <c r="Z47" s="2">
        <f t="shared" si="32"/>
        <v>147144.28555499468</v>
      </c>
      <c r="AA47" s="2">
        <f t="shared" si="33"/>
        <v>4380.7310930583044</v>
      </c>
      <c r="AB47" s="83">
        <f t="shared" si="34"/>
        <v>3.0685220114957945E-2</v>
      </c>
      <c r="AC47" s="7">
        <f t="shared" si="35"/>
        <v>1.0306852201149579</v>
      </c>
      <c r="AD47" s="2">
        <f t="shared" si="36"/>
        <v>0</v>
      </c>
      <c r="AF47">
        <f t="shared" si="16"/>
        <v>1992</v>
      </c>
      <c r="AG47" s="6">
        <f t="shared" si="11"/>
        <v>0.22521460262090962</v>
      </c>
      <c r="AH47" s="6">
        <f t="shared" si="12"/>
        <v>0.2890850429154771</v>
      </c>
      <c r="AI47" s="7"/>
      <c r="AJ47" s="7"/>
      <c r="AK47" s="6">
        <f t="shared" si="13"/>
        <v>9.2728180750305575E-2</v>
      </c>
      <c r="AL47" s="7"/>
      <c r="AM47" s="6">
        <f t="shared" si="17"/>
        <v>0.39297217371330773</v>
      </c>
      <c r="AN47" s="6">
        <f t="shared" si="37"/>
        <v>1</v>
      </c>
      <c r="AO47" s="7">
        <f t="shared" si="38"/>
        <v>0.60702782628669227</v>
      </c>
      <c r="AP47" s="7">
        <f t="shared" si="39"/>
        <v>0</v>
      </c>
    </row>
    <row r="48" spans="1:42" x14ac:dyDescent="0.2">
      <c r="A48">
        <f t="shared" si="14"/>
        <v>1993</v>
      </c>
      <c r="B48" s="2">
        <f t="shared" si="18"/>
        <v>36416.493033147228</v>
      </c>
      <c r="C48" s="2">
        <f t="shared" si="19"/>
        <v>48700.854138365175</v>
      </c>
      <c r="D48" s="2"/>
      <c r="E48" s="2"/>
      <c r="F48" s="2">
        <f t="shared" si="20"/>
        <v>17805.151923735713</v>
      </c>
      <c r="G48" s="2"/>
      <c r="H48" s="2">
        <f t="shared" si="21"/>
        <v>63420.935167260803</v>
      </c>
      <c r="I48" s="2">
        <f t="shared" si="40"/>
        <v>166343.43426250893</v>
      </c>
      <c r="J48" s="2">
        <f t="shared" si="23"/>
        <v>13823.066696017922</v>
      </c>
      <c r="K48" s="83">
        <f t="shared" si="24"/>
        <v>9.063095582950112E-2</v>
      </c>
      <c r="L48" s="7">
        <f t="shared" si="25"/>
        <v>1.0906309558295011</v>
      </c>
      <c r="N48">
        <f t="shared" si="26"/>
        <v>1993</v>
      </c>
      <c r="O48" s="2">
        <f t="shared" si="27"/>
        <v>5526.6123078182209</v>
      </c>
      <c r="P48" s="2"/>
      <c r="Q48" s="2"/>
      <c r="R48">
        <f t="shared" si="28"/>
        <v>1993</v>
      </c>
      <c r="S48" s="2">
        <f t="shared" si="29"/>
        <v>35034.839956192671</v>
      </c>
      <c r="T48" s="2">
        <f t="shared" si="30"/>
        <v>47319.201061410618</v>
      </c>
      <c r="U48" s="2"/>
      <c r="V48" s="2"/>
      <c r="W48" s="2">
        <f t="shared" si="15"/>
        <v>16423.498846781156</v>
      </c>
      <c r="X48" s="2"/>
      <c r="Y48" s="2">
        <f t="shared" si="31"/>
        <v>62039.282090306246</v>
      </c>
      <c r="Z48" s="2">
        <f t="shared" si="32"/>
        <v>160816.82195469071</v>
      </c>
      <c r="AA48" s="2">
        <f t="shared" si="33"/>
        <v>13672.536399696022</v>
      </c>
      <c r="AB48" s="83">
        <f t="shared" si="34"/>
        <v>9.2919248261163073E-2</v>
      </c>
      <c r="AC48" s="7">
        <f t="shared" si="35"/>
        <v>1.0929192482611632</v>
      </c>
      <c r="AD48" s="2">
        <f t="shared" si="36"/>
        <v>0</v>
      </c>
      <c r="AF48">
        <f t="shared" si="16"/>
        <v>1993</v>
      </c>
      <c r="AG48" s="6">
        <f t="shared" si="11"/>
        <v>0.21785556716239271</v>
      </c>
      <c r="AH48" s="6">
        <f t="shared" si="12"/>
        <v>0.294242856476436</v>
      </c>
      <c r="AI48" s="7"/>
      <c r="AJ48" s="7"/>
      <c r="AK48" s="6">
        <f t="shared" si="13"/>
        <v>0.1021255030857928</v>
      </c>
      <c r="AL48" s="7"/>
      <c r="AM48" s="6">
        <f t="shared" si="17"/>
        <v>0.38577607327537844</v>
      </c>
      <c r="AN48" s="6">
        <f t="shared" si="37"/>
        <v>1</v>
      </c>
      <c r="AO48" s="7">
        <f t="shared" si="38"/>
        <v>0.61422392672462156</v>
      </c>
      <c r="AP48" s="7">
        <f t="shared" si="39"/>
        <v>0</v>
      </c>
    </row>
    <row r="49" spans="1:42" x14ac:dyDescent="0.2">
      <c r="A49">
        <f t="shared" si="14"/>
        <v>1994</v>
      </c>
      <c r="B49" s="2">
        <f t="shared" si="18"/>
        <v>35448.251067675745</v>
      </c>
      <c r="C49" s="2">
        <f t="shared" si="19"/>
        <v>46484.490354687332</v>
      </c>
      <c r="D49" s="2"/>
      <c r="E49" s="2"/>
      <c r="F49" s="2">
        <f t="shared" si="20"/>
        <v>17286.553711179509</v>
      </c>
      <c r="G49" s="2"/>
      <c r="H49" s="2">
        <f t="shared" si="21"/>
        <v>60389.037186704103</v>
      </c>
      <c r="I49" s="2">
        <f t="shared" si="40"/>
        <v>159608.3323202467</v>
      </c>
      <c r="J49" s="2">
        <f t="shared" si="23"/>
        <v>-6735.1019422622339</v>
      </c>
      <c r="K49" s="83">
        <f t="shared" si="24"/>
        <v>-4.0489136058315799E-2</v>
      </c>
      <c r="L49" s="7">
        <f t="shared" si="25"/>
        <v>0.95951086394168417</v>
      </c>
      <c r="N49">
        <f t="shared" si="26"/>
        <v>1994</v>
      </c>
      <c r="O49" s="2">
        <f t="shared" si="27"/>
        <v>5670.3042278214944</v>
      </c>
      <c r="P49" s="2"/>
      <c r="Q49" s="2"/>
      <c r="R49">
        <f t="shared" si="28"/>
        <v>1994</v>
      </c>
      <c r="S49" s="2">
        <f t="shared" si="29"/>
        <v>34030.67501072037</v>
      </c>
      <c r="T49" s="2">
        <f t="shared" si="30"/>
        <v>45066.914297731957</v>
      </c>
      <c r="U49" s="2"/>
      <c r="V49" s="2"/>
      <c r="W49" s="2">
        <f t="shared" si="15"/>
        <v>15868.977654224136</v>
      </c>
      <c r="X49" s="2"/>
      <c r="Y49" s="2">
        <f t="shared" si="31"/>
        <v>58971.461129748728</v>
      </c>
      <c r="Z49" s="2">
        <f t="shared" si="32"/>
        <v>153938.0280924252</v>
      </c>
      <c r="AA49" s="2">
        <f t="shared" si="33"/>
        <v>-6878.7938622655056</v>
      </c>
      <c r="AB49" s="83">
        <f t="shared" si="34"/>
        <v>-4.2774094019862985E-2</v>
      </c>
      <c r="AC49" s="7">
        <f t="shared" si="35"/>
        <v>0.95722590598013702</v>
      </c>
      <c r="AD49" s="2">
        <f t="shared" si="36"/>
        <v>0</v>
      </c>
      <c r="AF49">
        <f t="shared" si="16"/>
        <v>1994</v>
      </c>
      <c r="AG49" s="6">
        <f t="shared" si="11"/>
        <v>0.2210673699827321</v>
      </c>
      <c r="AH49" s="6">
        <f t="shared" si="12"/>
        <v>0.29276011169035859</v>
      </c>
      <c r="AI49" s="7"/>
      <c r="AJ49" s="7"/>
      <c r="AK49" s="6">
        <f t="shared" si="13"/>
        <v>0.10308679311324112</v>
      </c>
      <c r="AL49" s="7"/>
      <c r="AM49" s="6">
        <f t="shared" si="17"/>
        <v>0.38308572521366813</v>
      </c>
      <c r="AN49" s="6">
        <f t="shared" si="37"/>
        <v>0.99999999999999989</v>
      </c>
      <c r="AO49" s="7">
        <f t="shared" si="38"/>
        <v>0.61691427478633176</v>
      </c>
      <c r="AP49" s="7">
        <f t="shared" si="39"/>
        <v>0</v>
      </c>
    </row>
    <row r="50" spans="1:42" x14ac:dyDescent="0.2">
      <c r="A50">
        <f t="shared" si="14"/>
        <v>1995</v>
      </c>
      <c r="B50" s="2">
        <f t="shared" si="18"/>
        <v>46775.162802235151</v>
      </c>
      <c r="C50" s="2">
        <f t="shared" si="19"/>
        <v>60298.179322936419</v>
      </c>
      <c r="D50" s="2"/>
      <c r="E50" s="2"/>
      <c r="F50" s="2">
        <f t="shared" si="20"/>
        <v>17399.699238750596</v>
      </c>
      <c r="G50" s="2"/>
      <c r="H50" s="2">
        <f t="shared" si="21"/>
        <v>69692.472763137048</v>
      </c>
      <c r="I50" s="2">
        <f t="shared" si="40"/>
        <v>194165.5141270592</v>
      </c>
      <c r="J50" s="2">
        <f t="shared" si="23"/>
        <v>34557.181806812499</v>
      </c>
      <c r="K50" s="83">
        <f t="shared" si="24"/>
        <v>0.21651239195629912</v>
      </c>
      <c r="L50" s="7">
        <f t="shared" si="25"/>
        <v>1.2165123919562992</v>
      </c>
      <c r="N50">
        <f t="shared" si="26"/>
        <v>1995</v>
      </c>
      <c r="O50" s="2">
        <f t="shared" si="27"/>
        <v>5812.0618335170311</v>
      </c>
      <c r="P50" s="2"/>
      <c r="Q50" s="2"/>
      <c r="R50">
        <f t="shared" si="28"/>
        <v>1995</v>
      </c>
      <c r="S50" s="2">
        <f t="shared" si="29"/>
        <v>45322.14734385589</v>
      </c>
      <c r="T50" s="2">
        <f t="shared" si="30"/>
        <v>58845.163864557158</v>
      </c>
      <c r="U50" s="2"/>
      <c r="V50" s="2"/>
      <c r="W50" s="2">
        <f t="shared" si="15"/>
        <v>15946.683780371339</v>
      </c>
      <c r="X50" s="2"/>
      <c r="Y50" s="2">
        <f t="shared" si="31"/>
        <v>68239.457304757787</v>
      </c>
      <c r="Z50" s="2">
        <f t="shared" si="32"/>
        <v>188353.45229354216</v>
      </c>
      <c r="AA50" s="2">
        <f t="shared" si="33"/>
        <v>34415.424201116955</v>
      </c>
      <c r="AB50" s="83">
        <f t="shared" si="34"/>
        <v>0.22356674713576138</v>
      </c>
      <c r="AC50" s="7">
        <f t="shared" si="35"/>
        <v>1.2235667471357614</v>
      </c>
      <c r="AD50" s="2">
        <f t="shared" si="36"/>
        <v>0</v>
      </c>
      <c r="AF50">
        <f t="shared" si="16"/>
        <v>1995</v>
      </c>
      <c r="AG50" s="6">
        <f t="shared" si="11"/>
        <v>0.24062286510800415</v>
      </c>
      <c r="AH50" s="6">
        <f t="shared" si="12"/>
        <v>0.31241882295233464</v>
      </c>
      <c r="AI50" s="7"/>
      <c r="AJ50" s="7"/>
      <c r="AK50" s="6">
        <f t="shared" si="13"/>
        <v>8.4663612937229307E-2</v>
      </c>
      <c r="AL50" s="7"/>
      <c r="AM50" s="6">
        <f t="shared" si="17"/>
        <v>0.362294699002432</v>
      </c>
      <c r="AN50" s="6">
        <f t="shared" si="37"/>
        <v>1.0000000000000002</v>
      </c>
      <c r="AO50" s="7">
        <f t="shared" si="38"/>
        <v>0.63770530099756817</v>
      </c>
      <c r="AP50" s="7">
        <f t="shared" si="39"/>
        <v>0</v>
      </c>
    </row>
    <row r="51" spans="1:42" x14ac:dyDescent="0.2">
      <c r="A51">
        <f t="shared" si="14"/>
        <v>1996</v>
      </c>
      <c r="B51" s="2">
        <f t="shared" si="18"/>
        <v>55691.854656130119</v>
      </c>
      <c r="C51" s="2">
        <f t="shared" si="19"/>
        <v>69229.569931735561</v>
      </c>
      <c r="D51" s="2"/>
      <c r="E51" s="2"/>
      <c r="F51" s="2">
        <f t="shared" si="20"/>
        <v>17576.275395887486</v>
      </c>
      <c r="G51" s="2"/>
      <c r="H51" s="2">
        <f t="shared" si="21"/>
        <v>70682.429876268114</v>
      </c>
      <c r="I51" s="2">
        <f t="shared" si="40"/>
        <v>213180.12986002129</v>
      </c>
      <c r="J51" s="2">
        <f t="shared" si="23"/>
        <v>19014.615732962091</v>
      </c>
      <c r="K51" s="83">
        <f t="shared" si="24"/>
        <v>9.7929932709467621E-2</v>
      </c>
      <c r="L51" s="7">
        <f t="shared" si="25"/>
        <v>1.0979299327094676</v>
      </c>
      <c r="N51">
        <f t="shared" si="26"/>
        <v>1996</v>
      </c>
      <c r="O51" s="2">
        <f t="shared" si="27"/>
        <v>6009.6719358566106</v>
      </c>
      <c r="P51" s="2"/>
      <c r="Q51" s="2"/>
      <c r="R51">
        <f t="shared" si="28"/>
        <v>1996</v>
      </c>
      <c r="S51" s="2">
        <f t="shared" si="29"/>
        <v>54189.436672165968</v>
      </c>
      <c r="T51" s="2">
        <f t="shared" si="30"/>
        <v>67727.151947771403</v>
      </c>
      <c r="U51" s="2"/>
      <c r="V51" s="2"/>
      <c r="W51" s="2">
        <f t="shared" si="15"/>
        <v>16073.857411923333</v>
      </c>
      <c r="X51" s="2"/>
      <c r="Y51" s="2">
        <f t="shared" si="31"/>
        <v>69180.011892303955</v>
      </c>
      <c r="Z51" s="2">
        <f t="shared" si="32"/>
        <v>207170.45792416466</v>
      </c>
      <c r="AA51" s="2">
        <f t="shared" si="33"/>
        <v>18817.005630622501</v>
      </c>
      <c r="AB51" s="83">
        <f t="shared" si="34"/>
        <v>9.9902632001121316E-2</v>
      </c>
      <c r="AC51" s="7">
        <f t="shared" si="35"/>
        <v>1.0999026320011214</v>
      </c>
      <c r="AD51" s="2">
        <f t="shared" si="36"/>
        <v>0</v>
      </c>
      <c r="AF51">
        <f t="shared" si="16"/>
        <v>1996</v>
      </c>
      <c r="AG51" s="6">
        <f t="shared" si="11"/>
        <v>0.26156932419390688</v>
      </c>
      <c r="AH51" s="6">
        <f t="shared" si="12"/>
        <v>0.32691510472290947</v>
      </c>
      <c r="AI51" s="7"/>
      <c r="AJ51" s="7"/>
      <c r="AK51" s="6">
        <f t="shared" si="13"/>
        <v>7.7587594162712201E-2</v>
      </c>
      <c r="AL51" s="6"/>
      <c r="AM51" s="6">
        <f t="shared" si="17"/>
        <v>0.33392797692047144</v>
      </c>
      <c r="AN51" s="6">
        <f t="shared" si="37"/>
        <v>1</v>
      </c>
      <c r="AO51" s="7">
        <f t="shared" si="38"/>
        <v>0.66607202307952851</v>
      </c>
      <c r="AP51" s="7">
        <f t="shared" si="39"/>
        <v>0</v>
      </c>
    </row>
    <row r="52" spans="1:42" x14ac:dyDescent="0.2">
      <c r="A52">
        <f t="shared" si="14"/>
        <v>1997</v>
      </c>
      <c r="B52" s="2">
        <f t="shared" si="18"/>
        <v>72174.910703657864</v>
      </c>
      <c r="C52" s="2">
        <f t="shared" si="19"/>
        <v>85801.496988073151</v>
      </c>
      <c r="D52" s="2"/>
      <c r="E52" s="2"/>
      <c r="F52" s="2"/>
      <c r="G52" s="2">
        <f>W51*(1+(G13/100))</f>
        <v>15949.285016980926</v>
      </c>
      <c r="H52" s="2">
        <f t="shared" si="21"/>
        <v>75710.60501493745</v>
      </c>
      <c r="I52" s="2">
        <f t="shared" si="22"/>
        <v>249636.29772364936</v>
      </c>
      <c r="J52" s="2">
        <f>I52-I51</f>
        <v>36456.16786362807</v>
      </c>
      <c r="K52" s="83">
        <f>(J52/I51)</f>
        <v>0.17101109698903919</v>
      </c>
      <c r="L52" s="7">
        <f t="shared" si="25"/>
        <v>1.1710110969890393</v>
      </c>
      <c r="N52">
        <f t="shared" si="26"/>
        <v>1997</v>
      </c>
      <c r="O52" s="2">
        <f t="shared" si="27"/>
        <v>6111.8363587661725</v>
      </c>
      <c r="P52" s="2"/>
      <c r="Q52" s="2"/>
      <c r="R52">
        <f t="shared" ref="R52" si="41">A52</f>
        <v>1997</v>
      </c>
      <c r="S52" s="2">
        <f t="shared" ref="S52" si="42">B52-($O52/4)</f>
        <v>70646.951613966317</v>
      </c>
      <c r="T52" s="2">
        <f t="shared" ref="T52" si="43">C52-($O52/4)</f>
        <v>84273.537898381604</v>
      </c>
      <c r="U52" s="2"/>
      <c r="V52" s="2"/>
      <c r="W52" s="2"/>
      <c r="X52" s="2">
        <f>G52-(O52/4)</f>
        <v>14421.325927289383</v>
      </c>
      <c r="Y52" s="2">
        <f t="shared" si="31"/>
        <v>74182.645925245903</v>
      </c>
      <c r="Z52" s="2">
        <f t="shared" ref="Z52" si="44">SUM(S52:Y52)</f>
        <v>243524.46136488317</v>
      </c>
      <c r="AA52" s="2">
        <f>Z52-Z51</f>
        <v>36354.003440718516</v>
      </c>
      <c r="AB52" s="83">
        <f>(AA52/Z51)</f>
        <v>0.17547870388946094</v>
      </c>
      <c r="AC52" s="7">
        <f t="shared" si="35"/>
        <v>1.175478703889461</v>
      </c>
      <c r="AD52" s="2">
        <f t="shared" si="36"/>
        <v>0</v>
      </c>
      <c r="AF52">
        <f t="shared" si="16"/>
        <v>1997</v>
      </c>
      <c r="AG52" s="6">
        <f t="shared" si="11"/>
        <v>0.29010207524127507</v>
      </c>
      <c r="AH52" s="6">
        <f t="shared" si="12"/>
        <v>0.34605779405507414</v>
      </c>
      <c r="AI52" s="7"/>
      <c r="AJ52" s="7"/>
      <c r="AK52" s="6"/>
      <c r="AL52" s="6">
        <f t="shared" ref="AL52:AL58" si="45">X52/$Z52</f>
        <v>5.9219208807452364E-2</v>
      </c>
      <c r="AM52" s="6">
        <f t="shared" si="17"/>
        <v>0.30462092189619855</v>
      </c>
      <c r="AN52" s="6">
        <f t="shared" si="37"/>
        <v>1.0000000000000002</v>
      </c>
      <c r="AO52" s="7">
        <f t="shared" si="38"/>
        <v>0.69537907810380162</v>
      </c>
      <c r="AP52" s="7">
        <f t="shared" si="39"/>
        <v>0</v>
      </c>
    </row>
    <row r="53" spans="1:42" x14ac:dyDescent="0.2">
      <c r="A53">
        <f t="shared" si="14"/>
        <v>1998</v>
      </c>
      <c r="B53" s="2">
        <f t="shared" si="18"/>
        <v>90894.367946529062</v>
      </c>
      <c r="C53" s="2">
        <f t="shared" si="19"/>
        <v>91312.906519033422</v>
      </c>
      <c r="D53" s="2"/>
      <c r="E53" s="2"/>
      <c r="F53" s="2"/>
      <c r="G53" s="2">
        <f t="shared" ref="G53:G69" si="46">X52*(1+(G14/100))</f>
        <v>16671.485411724345</v>
      </c>
      <c r="H53" s="2">
        <f t="shared" si="21"/>
        <v>80547.516945632015</v>
      </c>
      <c r="I53" s="2">
        <f t="shared" si="22"/>
        <v>279426.27682291885</v>
      </c>
      <c r="J53" s="2">
        <f>I53-I52</f>
        <v>29789.979099269491</v>
      </c>
      <c r="K53" s="83">
        <f>(J53/I52)</f>
        <v>0.11933352389421904</v>
      </c>
      <c r="L53" s="7">
        <f t="shared" si="25"/>
        <v>1.119333523894219</v>
      </c>
      <c r="N53">
        <f t="shared" si="26"/>
        <v>1998</v>
      </c>
      <c r="O53" s="2">
        <f t="shared" si="27"/>
        <v>6209.6257405064316</v>
      </c>
      <c r="P53" s="2"/>
      <c r="Q53" s="2"/>
      <c r="R53">
        <f t="shared" ref="R53:R55" si="47">A53</f>
        <v>1998</v>
      </c>
      <c r="S53" s="2">
        <f>B53-($O53/4)</f>
        <v>89341.961511402449</v>
      </c>
      <c r="T53" s="2">
        <f>C53-($O53/4)</f>
        <v>89760.500083906809</v>
      </c>
      <c r="U53" s="2"/>
      <c r="V53" s="2"/>
      <c r="W53" s="2"/>
      <c r="X53" s="2">
        <f>G53-($O53/4)</f>
        <v>15119.078976597737</v>
      </c>
      <c r="Y53" s="2">
        <f>H53-($O53/4)</f>
        <v>78995.110510505401</v>
      </c>
      <c r="Z53" s="2">
        <f t="shared" ref="Z53:Z55" si="48">SUM(S53:Y53)</f>
        <v>273216.6510824124</v>
      </c>
      <c r="AA53" s="2">
        <f>Z53-Z52</f>
        <v>29692.189717529225</v>
      </c>
      <c r="AB53" s="83">
        <f>(AA53/Z52)</f>
        <v>0.12192692902845657</v>
      </c>
      <c r="AC53" s="7">
        <f t="shared" si="35"/>
        <v>1.1219269290284566</v>
      </c>
      <c r="AD53" s="2">
        <f t="shared" si="36"/>
        <v>0</v>
      </c>
      <c r="AF53">
        <f t="shared" si="16"/>
        <v>1998</v>
      </c>
      <c r="AG53" s="6">
        <f t="shared" si="11"/>
        <v>0.32700042679482794</v>
      </c>
      <c r="AH53" s="6">
        <f t="shared" si="12"/>
        <v>0.32853231941867145</v>
      </c>
      <c r="AI53" s="7"/>
      <c r="AJ53" s="7"/>
      <c r="AK53" s="7"/>
      <c r="AL53" s="6">
        <f t="shared" si="45"/>
        <v>5.5337326318509246E-2</v>
      </c>
      <c r="AM53" s="6">
        <f t="shared" si="17"/>
        <v>0.28912992746799138</v>
      </c>
      <c r="AN53" s="6">
        <f t="shared" si="37"/>
        <v>1</v>
      </c>
      <c r="AO53" s="7">
        <f t="shared" si="38"/>
        <v>0.71087007253200873</v>
      </c>
      <c r="AP53" s="7">
        <f t="shared" si="39"/>
        <v>0</v>
      </c>
    </row>
    <row r="54" spans="1:42" x14ac:dyDescent="0.2">
      <c r="A54">
        <f t="shared" si="14"/>
        <v>1999</v>
      </c>
      <c r="B54" s="2">
        <f t="shared" ref="B54:B69" si="49">S53*(1+(B15/100))</f>
        <v>108166.31280185496</v>
      </c>
      <c r="C54" s="2"/>
      <c r="D54" s="2">
        <f>($T53*0.6)*(1+(D15/100))</f>
        <v>62106.546655056292</v>
      </c>
      <c r="E54" s="2">
        <f>($T53*0.4)*(1+(E15/100))</f>
        <v>44209.918627326791</v>
      </c>
      <c r="F54" s="2"/>
      <c r="G54" s="2">
        <f t="shared" si="46"/>
        <v>19642.556215606015</v>
      </c>
      <c r="H54" s="2">
        <f t="shared" si="21"/>
        <v>78394.747670625555</v>
      </c>
      <c r="I54" s="2">
        <f t="shared" si="22"/>
        <v>312520.08197046962</v>
      </c>
      <c r="J54" s="2">
        <f t="shared" si="23"/>
        <v>33093.805147550767</v>
      </c>
      <c r="K54" s="83">
        <f t="shared" si="24"/>
        <v>0.1184348355631684</v>
      </c>
      <c r="L54" s="7">
        <f t="shared" si="25"/>
        <v>1.1184348355631684</v>
      </c>
      <c r="N54">
        <f t="shared" si="26"/>
        <v>1999</v>
      </c>
      <c r="O54" s="2">
        <f t="shared" si="27"/>
        <v>6377.2856355001049</v>
      </c>
      <c r="P54" s="2"/>
      <c r="Q54" s="2"/>
      <c r="R54">
        <f t="shared" si="47"/>
        <v>1999</v>
      </c>
      <c r="S54" s="2">
        <f>B54-($O54/5)</f>
        <v>106890.85567475494</v>
      </c>
      <c r="T54" s="2"/>
      <c r="U54" s="2">
        <f>D54-($O54/5)</f>
        <v>60831.089527956268</v>
      </c>
      <c r="V54" s="2">
        <f>E54-($O54/5)</f>
        <v>42934.461500226767</v>
      </c>
      <c r="W54" s="2"/>
      <c r="X54" s="2">
        <f>G54-($O54/5)</f>
        <v>18367.099088505995</v>
      </c>
      <c r="Y54" s="2">
        <f>H54-($O54/5)</f>
        <v>77119.290543525538</v>
      </c>
      <c r="Z54" s="2">
        <f t="shared" si="48"/>
        <v>306142.79633496946</v>
      </c>
      <c r="AA54" s="2">
        <f t="shared" si="33"/>
        <v>32926.145252557064</v>
      </c>
      <c r="AB54" s="83">
        <f t="shared" si="34"/>
        <v>0.12051295234793469</v>
      </c>
      <c r="AC54" s="7">
        <f t="shared" si="35"/>
        <v>1.1205129523479347</v>
      </c>
      <c r="AD54" s="2">
        <f t="shared" si="36"/>
        <v>0</v>
      </c>
      <c r="AF54">
        <f t="shared" si="16"/>
        <v>1999</v>
      </c>
      <c r="AG54" s="6">
        <f t="shared" ref="AG54:AG67" si="50">S54/$Z54</f>
        <v>0.34915358765391025</v>
      </c>
      <c r="AH54" s="7"/>
      <c r="AI54" s="6">
        <f>U54/$Z54</f>
        <v>0.19870168514890441</v>
      </c>
      <c r="AJ54" s="6">
        <f>V54/$Z54</f>
        <v>0.14024325254169809</v>
      </c>
      <c r="AK54" s="7"/>
      <c r="AL54" s="6">
        <f t="shared" si="45"/>
        <v>5.9995202593006412E-2</v>
      </c>
      <c r="AM54" s="6">
        <f t="shared" si="17"/>
        <v>0.25190627206248101</v>
      </c>
      <c r="AN54" s="6">
        <f t="shared" si="37"/>
        <v>1.0000000000000002</v>
      </c>
      <c r="AO54" s="7">
        <f t="shared" si="38"/>
        <v>0.74809372793751916</v>
      </c>
      <c r="AP54" s="7">
        <f t="shared" si="39"/>
        <v>0</v>
      </c>
    </row>
    <row r="55" spans="1:42" x14ac:dyDescent="0.2">
      <c r="A55">
        <f t="shared" si="14"/>
        <v>2000</v>
      </c>
      <c r="B55" s="2">
        <f t="shared" si="49"/>
        <v>97206.54415062214</v>
      </c>
      <c r="C55" s="2"/>
      <c r="D55" s="2">
        <f t="shared" ref="D55:D69" si="51">U54*(1+(D16/100))</f>
        <v>71840.300110725788</v>
      </c>
      <c r="E55" s="2">
        <f t="shared" ref="E55:E69" si="52">V54*(1+(E16/100))</f>
        <v>41790.258101245723</v>
      </c>
      <c r="F55" s="2"/>
      <c r="G55" s="2">
        <f t="shared" si="46"/>
        <v>15499.260236826669</v>
      </c>
      <c r="H55" s="2">
        <f t="shared" si="21"/>
        <v>85903.177736433106</v>
      </c>
      <c r="I55" s="2">
        <f t="shared" si="22"/>
        <v>312239.54033585341</v>
      </c>
      <c r="J55" s="2">
        <f t="shared" si="23"/>
        <v>-280.54163461620919</v>
      </c>
      <c r="K55" s="83">
        <f t="shared" si="24"/>
        <v>-8.9767554407181387E-4</v>
      </c>
      <c r="L55" s="7">
        <f t="shared" si="25"/>
        <v>0.99910232445592817</v>
      </c>
      <c r="N55">
        <f t="shared" si="26"/>
        <v>2000</v>
      </c>
      <c r="O55" s="2">
        <f t="shared" si="27"/>
        <v>6594.1133471071089</v>
      </c>
      <c r="P55" s="2"/>
      <c r="Q55" s="2"/>
      <c r="R55">
        <f t="shared" si="47"/>
        <v>2000</v>
      </c>
      <c r="S55" s="2">
        <f t="shared" ref="S55:S67" si="53">B55-($O55/5)</f>
        <v>95887.721481200715</v>
      </c>
      <c r="T55" s="2"/>
      <c r="U55" s="2">
        <f t="shared" ref="U55:U67" si="54">D55-($O55/5)</f>
        <v>70521.477441304363</v>
      </c>
      <c r="V55" s="2">
        <f t="shared" ref="V55:V67" si="55">E55-($O55/5)</f>
        <v>40471.435431824299</v>
      </c>
      <c r="W55" s="2"/>
      <c r="X55" s="2">
        <f t="shared" ref="X55:X67" si="56">G55-($O55/5)</f>
        <v>14180.437567405246</v>
      </c>
      <c r="Y55" s="2">
        <f t="shared" ref="Y55:Y67" si="57">H55-($O55/5)</f>
        <v>84584.355067011682</v>
      </c>
      <c r="Z55" s="2">
        <f t="shared" si="48"/>
        <v>305645.42698874633</v>
      </c>
      <c r="AA55" s="2">
        <f t="shared" si="33"/>
        <v>-497.36934622313129</v>
      </c>
      <c r="AB55" s="83">
        <f t="shared" si="34"/>
        <v>-1.6246318782524257E-3</v>
      </c>
      <c r="AC55" s="7">
        <f t="shared" si="35"/>
        <v>0.99837536812174754</v>
      </c>
      <c r="AD55" s="2">
        <f t="shared" si="36"/>
        <v>0</v>
      </c>
      <c r="AF55">
        <f t="shared" si="16"/>
        <v>2000</v>
      </c>
      <c r="AG55" s="6">
        <f t="shared" si="50"/>
        <v>0.31372208779924338</v>
      </c>
      <c r="AH55" s="7"/>
      <c r="AI55" s="6">
        <f t="shared" ref="AI55:AI67" si="58">U55/$Z55</f>
        <v>0.23072969923381487</v>
      </c>
      <c r="AJ55" s="6">
        <f t="shared" ref="AJ55:AJ67" si="59">V55/$Z55</f>
        <v>0.13241302456429171</v>
      </c>
      <c r="AK55" s="7"/>
      <c r="AL55" s="6">
        <f t="shared" si="45"/>
        <v>4.6395058833736E-2</v>
      </c>
      <c r="AM55" s="6">
        <f t="shared" si="17"/>
        <v>0.27674012956891392</v>
      </c>
      <c r="AN55" s="6">
        <f t="shared" si="37"/>
        <v>0.99999999999999989</v>
      </c>
      <c r="AO55" s="7">
        <f t="shared" si="38"/>
        <v>0.72325987043108597</v>
      </c>
      <c r="AP55" s="7">
        <f t="shared" si="39"/>
        <v>0</v>
      </c>
    </row>
    <row r="56" spans="1:42" x14ac:dyDescent="0.2">
      <c r="A56">
        <f t="shared" si="14"/>
        <v>2001</v>
      </c>
      <c r="B56" s="2">
        <f t="shared" si="49"/>
        <v>84362.017359160396</v>
      </c>
      <c r="C56" s="2"/>
      <c r="D56" s="2">
        <f t="shared" si="51"/>
        <v>70169.575268872257</v>
      </c>
      <c r="E56" s="2">
        <f t="shared" si="52"/>
        <v>41726.049930210851</v>
      </c>
      <c r="F56" s="2"/>
      <c r="G56" s="2">
        <f t="shared" si="46"/>
        <v>11322.653984446068</v>
      </c>
      <c r="H56" s="2">
        <f t="shared" si="21"/>
        <v>91714.816199160763</v>
      </c>
      <c r="I56" s="2">
        <f t="shared" si="22"/>
        <v>299295.11274185037</v>
      </c>
      <c r="J56" s="2">
        <f t="shared" si="23"/>
        <v>-12944.427594003035</v>
      </c>
      <c r="K56" s="83">
        <f t="shared" si="24"/>
        <v>-4.1456721272647448E-2</v>
      </c>
      <c r="L56" s="7">
        <f t="shared" si="25"/>
        <v>0.95854327872735257</v>
      </c>
      <c r="N56">
        <f t="shared" si="26"/>
        <v>2001</v>
      </c>
      <c r="O56" s="2">
        <f t="shared" si="27"/>
        <v>6699.6191606608227</v>
      </c>
      <c r="P56" s="2"/>
      <c r="Q56" s="2"/>
      <c r="R56">
        <f t="shared" ref="R56:R67" si="60">A56</f>
        <v>2001</v>
      </c>
      <c r="S56" s="2">
        <f t="shared" si="53"/>
        <v>83022.093527028235</v>
      </c>
      <c r="T56" s="2"/>
      <c r="U56" s="2">
        <f t="shared" si="54"/>
        <v>68829.651436740096</v>
      </c>
      <c r="V56" s="2">
        <f t="shared" si="55"/>
        <v>40386.12609807869</v>
      </c>
      <c r="W56" s="2"/>
      <c r="X56" s="2">
        <f t="shared" si="56"/>
        <v>9982.7301523139031</v>
      </c>
      <c r="Y56" s="2">
        <f t="shared" si="57"/>
        <v>90374.892367028602</v>
      </c>
      <c r="Z56" s="2">
        <f t="shared" ref="Z56:Z67" si="61">SUM(S56:Y56)</f>
        <v>292595.49358118954</v>
      </c>
      <c r="AA56" s="2">
        <f t="shared" si="33"/>
        <v>-13049.933407556789</v>
      </c>
      <c r="AB56" s="83">
        <f t="shared" si="34"/>
        <v>-4.2696314929774097E-2</v>
      </c>
      <c r="AC56" s="7">
        <f t="shared" si="35"/>
        <v>0.9573036850702259</v>
      </c>
      <c r="AD56" s="2">
        <f t="shared" si="36"/>
        <v>0</v>
      </c>
      <c r="AF56">
        <f t="shared" si="16"/>
        <v>2001</v>
      </c>
      <c r="AG56" s="6">
        <f t="shared" si="50"/>
        <v>0.28374358234601871</v>
      </c>
      <c r="AH56" s="7"/>
      <c r="AI56" s="6">
        <f t="shared" si="58"/>
        <v>0.23523824852634379</v>
      </c>
      <c r="AJ56" s="6">
        <f t="shared" si="59"/>
        <v>0.13802716372619842</v>
      </c>
      <c r="AK56" s="7"/>
      <c r="AL56" s="6">
        <f t="shared" si="45"/>
        <v>3.4117853389098389E-2</v>
      </c>
      <c r="AM56" s="6">
        <f t="shared" si="17"/>
        <v>0.30887315201234067</v>
      </c>
      <c r="AN56" s="6">
        <f t="shared" si="37"/>
        <v>0.99999999999999989</v>
      </c>
      <c r="AO56" s="7">
        <f t="shared" si="38"/>
        <v>0.69112684798765922</v>
      </c>
      <c r="AP56" s="7">
        <f t="shared" si="39"/>
        <v>0</v>
      </c>
    </row>
    <row r="57" spans="1:42" x14ac:dyDescent="0.2">
      <c r="A57">
        <f t="shared" si="14"/>
        <v>2002</v>
      </c>
      <c r="B57" s="2">
        <f t="shared" si="49"/>
        <v>64632.699810791477</v>
      </c>
      <c r="C57" s="2"/>
      <c r="D57" s="2">
        <f t="shared" si="51"/>
        <v>58775.015954861105</v>
      </c>
      <c r="E57" s="2">
        <f t="shared" si="52"/>
        <v>32300.015930721376</v>
      </c>
      <c r="F57" s="2"/>
      <c r="G57" s="2">
        <f t="shared" si="46"/>
        <v>8477.0349634403974</v>
      </c>
      <c r="H57" s="2">
        <f t="shared" si="21"/>
        <v>97839.858476545167</v>
      </c>
      <c r="I57" s="2">
        <f t="shared" si="22"/>
        <v>262024.62513635951</v>
      </c>
      <c r="J57" s="2">
        <f t="shared" si="23"/>
        <v>-37270.487605490867</v>
      </c>
      <c r="K57" s="83">
        <f t="shared" si="24"/>
        <v>-0.12452755163308533</v>
      </c>
      <c r="L57" s="7">
        <f t="shared" si="25"/>
        <v>0.87547244836691462</v>
      </c>
      <c r="N57">
        <f t="shared" si="26"/>
        <v>2002</v>
      </c>
      <c r="O57" s="2">
        <f t="shared" si="27"/>
        <v>6867.1096396773428</v>
      </c>
      <c r="P57" s="2"/>
      <c r="Q57" s="2"/>
      <c r="R57">
        <f t="shared" si="60"/>
        <v>2002</v>
      </c>
      <c r="S57" s="2">
        <f t="shared" si="53"/>
        <v>63259.277882856011</v>
      </c>
      <c r="T57" s="2"/>
      <c r="U57" s="2">
        <f t="shared" si="54"/>
        <v>57401.594026925639</v>
      </c>
      <c r="V57" s="2">
        <f t="shared" si="55"/>
        <v>30926.594002785907</v>
      </c>
      <c r="W57" s="2"/>
      <c r="X57" s="2">
        <f t="shared" si="56"/>
        <v>7103.613035504929</v>
      </c>
      <c r="Y57" s="2">
        <f t="shared" si="57"/>
        <v>96466.436548609694</v>
      </c>
      <c r="Z57" s="2">
        <f t="shared" si="61"/>
        <v>255157.5154966822</v>
      </c>
      <c r="AA57" s="2">
        <f t="shared" si="33"/>
        <v>-37437.97808450734</v>
      </c>
      <c r="AB57" s="83">
        <f t="shared" si="34"/>
        <v>-0.12795131471879292</v>
      </c>
      <c r="AC57" s="7">
        <f t="shared" si="35"/>
        <v>0.87204868528120705</v>
      </c>
      <c r="AD57" s="2">
        <f t="shared" si="36"/>
        <v>0</v>
      </c>
      <c r="AF57">
        <f t="shared" si="16"/>
        <v>2002</v>
      </c>
      <c r="AG57" s="6">
        <f t="shared" si="50"/>
        <v>0.24792245589833928</v>
      </c>
      <c r="AH57" s="7"/>
      <c r="AI57" s="6">
        <f t="shared" si="58"/>
        <v>0.22496532745739181</v>
      </c>
      <c r="AJ57" s="6">
        <f t="shared" si="59"/>
        <v>0.12120589096733089</v>
      </c>
      <c r="AK57" s="7"/>
      <c r="AL57" s="6">
        <f t="shared" si="45"/>
        <v>2.7840108968286679E-2</v>
      </c>
      <c r="AM57" s="6">
        <f t="shared" si="17"/>
        <v>0.37806621670865126</v>
      </c>
      <c r="AN57" s="6">
        <f t="shared" si="37"/>
        <v>1</v>
      </c>
      <c r="AO57" s="7">
        <f t="shared" si="38"/>
        <v>0.62193378329134874</v>
      </c>
      <c r="AP57" s="7">
        <f t="shared" si="39"/>
        <v>0</v>
      </c>
    </row>
    <row r="58" spans="1:42" x14ac:dyDescent="0.2">
      <c r="A58">
        <f t="shared" si="14"/>
        <v>2003</v>
      </c>
      <c r="B58" s="2">
        <f t="shared" si="49"/>
        <v>81288.172079469965</v>
      </c>
      <c r="C58" s="2"/>
      <c r="D58" s="2">
        <f t="shared" si="51"/>
        <v>76999.646259598594</v>
      </c>
      <c r="E58" s="2">
        <f t="shared" si="52"/>
        <v>45037.780314377058</v>
      </c>
      <c r="F58" s="2"/>
      <c r="G58" s="2">
        <f t="shared" si="46"/>
        <v>9969.2105340276175</v>
      </c>
      <c r="H58" s="2">
        <f t="shared" si="21"/>
        <v>100296.15407958951</v>
      </c>
      <c r="I58" s="2">
        <f t="shared" si="22"/>
        <v>313590.96326706273</v>
      </c>
      <c r="J58" s="2">
        <f t="shared" si="23"/>
        <v>51566.338130703225</v>
      </c>
      <c r="K58" s="83">
        <f t="shared" si="24"/>
        <v>0.19679958745811668</v>
      </c>
      <c r="L58" s="7">
        <f t="shared" si="25"/>
        <v>1.1967995874581168</v>
      </c>
      <c r="N58">
        <f t="shared" si="26"/>
        <v>2003</v>
      </c>
      <c r="O58" s="2">
        <f t="shared" si="27"/>
        <v>7004.4518324708897</v>
      </c>
      <c r="P58" s="2"/>
      <c r="Q58" s="2"/>
      <c r="R58">
        <f t="shared" si="60"/>
        <v>2003</v>
      </c>
      <c r="S58" s="2">
        <f t="shared" si="53"/>
        <v>79887.28171297579</v>
      </c>
      <c r="T58" s="2"/>
      <c r="U58" s="2">
        <f t="shared" si="54"/>
        <v>75598.755893104419</v>
      </c>
      <c r="V58" s="2">
        <f t="shared" si="55"/>
        <v>43636.889947882883</v>
      </c>
      <c r="W58" s="2"/>
      <c r="X58" s="2">
        <f t="shared" si="56"/>
        <v>8568.3201675334403</v>
      </c>
      <c r="Y58" s="2">
        <f t="shared" si="57"/>
        <v>98895.263713095337</v>
      </c>
      <c r="Z58" s="2">
        <f t="shared" si="61"/>
        <v>306586.51143459184</v>
      </c>
      <c r="AA58" s="2">
        <f t="shared" si="33"/>
        <v>51428.99593790964</v>
      </c>
      <c r="AB58" s="83">
        <f t="shared" si="34"/>
        <v>0.20155783315964435</v>
      </c>
      <c r="AC58" s="7">
        <f t="shared" si="35"/>
        <v>1.2015578331596444</v>
      </c>
      <c r="AD58" s="2">
        <f t="shared" si="36"/>
        <v>0</v>
      </c>
      <c r="AF58">
        <f t="shared" si="16"/>
        <v>2003</v>
      </c>
      <c r="AG58" s="6">
        <f t="shared" si="50"/>
        <v>0.26057011229608251</v>
      </c>
      <c r="AH58" s="7"/>
      <c r="AI58" s="6">
        <f t="shared" si="58"/>
        <v>0.24658213285170213</v>
      </c>
      <c r="AJ58" s="6">
        <f t="shared" si="59"/>
        <v>0.14233140833135616</v>
      </c>
      <c r="AK58" s="7"/>
      <c r="AL58" s="6">
        <f t="shared" si="45"/>
        <v>2.7947479252887594E-2</v>
      </c>
      <c r="AM58" s="6">
        <f t="shared" si="17"/>
        <v>0.32256886726797168</v>
      </c>
      <c r="AN58" s="6">
        <f t="shared" si="37"/>
        <v>1</v>
      </c>
      <c r="AO58" s="7">
        <f t="shared" si="38"/>
        <v>0.67743113273202837</v>
      </c>
      <c r="AP58" s="7">
        <f t="shared" si="39"/>
        <v>0</v>
      </c>
    </row>
    <row r="59" spans="1:42" x14ac:dyDescent="0.2">
      <c r="A59">
        <f t="shared" si="14"/>
        <v>2004</v>
      </c>
      <c r="B59" s="2">
        <f t="shared" si="49"/>
        <v>88467.175768949382</v>
      </c>
      <c r="C59" s="2"/>
      <c r="D59" s="2">
        <f t="shared" si="51"/>
        <v>90985.370680027961</v>
      </c>
      <c r="E59" s="2">
        <f t="shared" si="52"/>
        <v>52319.321940813141</v>
      </c>
      <c r="F59" s="2"/>
      <c r="G59" s="2">
        <f t="shared" si="46"/>
        <v>10353.701040842383</v>
      </c>
      <c r="H59" s="2">
        <f t="shared" si="21"/>
        <v>103088.42289453058</v>
      </c>
      <c r="I59" s="2">
        <f t="shared" si="22"/>
        <v>345213.99232516345</v>
      </c>
      <c r="J59" s="2">
        <f>I59-I58</f>
        <v>31623.029058100714</v>
      </c>
      <c r="K59" s="83">
        <f>(J59/I58)</f>
        <v>0.10084164648319176</v>
      </c>
      <c r="L59" s="7">
        <f t="shared" si="25"/>
        <v>1.1008416464831918</v>
      </c>
      <c r="N59">
        <f t="shared" si="26"/>
        <v>2004</v>
      </c>
      <c r="O59" s="2">
        <f t="shared" si="27"/>
        <v>7235.5987429424285</v>
      </c>
      <c r="P59" s="2"/>
      <c r="Q59" s="2"/>
      <c r="R59">
        <f t="shared" si="60"/>
        <v>2004</v>
      </c>
      <c r="S59" s="2">
        <f t="shared" si="53"/>
        <v>87020.056020360891</v>
      </c>
      <c r="T59" s="2"/>
      <c r="U59" s="2">
        <f t="shared" si="54"/>
        <v>89538.25093143947</v>
      </c>
      <c r="V59" s="2">
        <f t="shared" si="55"/>
        <v>50872.202192224657</v>
      </c>
      <c r="W59" s="2"/>
      <c r="X59" s="2">
        <f t="shared" si="56"/>
        <v>8906.5812922538971</v>
      </c>
      <c r="Y59" s="2">
        <f t="shared" si="57"/>
        <v>101641.30314594209</v>
      </c>
      <c r="Z59" s="2">
        <f t="shared" si="61"/>
        <v>337978.393582221</v>
      </c>
      <c r="AA59" s="2">
        <f>Z59-Z58</f>
        <v>31391.882147629163</v>
      </c>
      <c r="AB59" s="83">
        <f>(AA59/Z58)</f>
        <v>0.10239159577092617</v>
      </c>
      <c r="AC59" s="7">
        <f t="shared" si="35"/>
        <v>1.1023915957709263</v>
      </c>
      <c r="AD59" s="2">
        <f t="shared" si="36"/>
        <v>0</v>
      </c>
      <c r="AF59">
        <f t="shared" si="16"/>
        <v>2004</v>
      </c>
      <c r="AG59" s="6">
        <f t="shared" si="50"/>
        <v>0.25747224577890437</v>
      </c>
      <c r="AH59" s="7"/>
      <c r="AI59" s="6">
        <f t="shared" si="58"/>
        <v>0.26492300286543979</v>
      </c>
      <c r="AJ59" s="6">
        <f t="shared" si="59"/>
        <v>0.15051909577127695</v>
      </c>
      <c r="AK59" s="7"/>
      <c r="AL59" s="6">
        <f t="shared" ref="AL59:AL67" si="62">X59/$Z59</f>
        <v>2.6352516792133834E-2</v>
      </c>
      <c r="AM59" s="6">
        <f t="shared" si="17"/>
        <v>0.30073313879224506</v>
      </c>
      <c r="AN59" s="6">
        <f t="shared" si="37"/>
        <v>1</v>
      </c>
      <c r="AO59" s="7">
        <f t="shared" si="38"/>
        <v>0.69926686120775494</v>
      </c>
      <c r="AP59" s="7">
        <f t="shared" si="39"/>
        <v>0</v>
      </c>
    </row>
    <row r="60" spans="1:42" x14ac:dyDescent="0.2">
      <c r="A60">
        <f t="shared" si="14"/>
        <v>2005</v>
      </c>
      <c r="B60" s="2">
        <f t="shared" si="49"/>
        <v>91170.912692532118</v>
      </c>
      <c r="C60" s="2"/>
      <c r="D60" s="2">
        <f t="shared" si="51"/>
        <v>102011.8246686983</v>
      </c>
      <c r="E60" s="2">
        <f t="shared" si="52"/>
        <v>54617.922439638161</v>
      </c>
      <c r="F60" s="2"/>
      <c r="G60" s="2">
        <f t="shared" si="46"/>
        <v>10293.425065270752</v>
      </c>
      <c r="H60" s="2">
        <f t="shared" si="21"/>
        <v>104080.6944214447</v>
      </c>
      <c r="I60" s="2">
        <f t="shared" si="22"/>
        <v>362174.77928758401</v>
      </c>
      <c r="J60" s="2">
        <f t="shared" si="23"/>
        <v>16960.786962420563</v>
      </c>
      <c r="K60" s="83">
        <f t="shared" si="24"/>
        <v>4.913122683174697E-2</v>
      </c>
      <c r="L60" s="7">
        <f t="shared" si="25"/>
        <v>1.049131226831747</v>
      </c>
      <c r="N60">
        <f t="shared" si="26"/>
        <v>2005</v>
      </c>
      <c r="O60" s="2">
        <f t="shared" si="27"/>
        <v>7474.3735014595277</v>
      </c>
      <c r="P60" s="2"/>
      <c r="Q60" s="2"/>
      <c r="R60">
        <f t="shared" si="60"/>
        <v>2005</v>
      </c>
      <c r="S60" s="2">
        <f t="shared" si="53"/>
        <v>89676.037992240206</v>
      </c>
      <c r="T60" s="2"/>
      <c r="U60" s="2">
        <f t="shared" si="54"/>
        <v>100516.94996840639</v>
      </c>
      <c r="V60" s="2">
        <f t="shared" si="55"/>
        <v>53123.047739346257</v>
      </c>
      <c r="W60" s="2"/>
      <c r="X60" s="2">
        <f t="shared" si="56"/>
        <v>8798.5503649788461</v>
      </c>
      <c r="Y60" s="2">
        <f t="shared" si="57"/>
        <v>102585.81972115279</v>
      </c>
      <c r="Z60" s="2">
        <f t="shared" si="61"/>
        <v>354700.40578612447</v>
      </c>
      <c r="AA60" s="2">
        <f t="shared" ref="AA60:AA67" si="63">Z60-Z59</f>
        <v>16722.012203903461</v>
      </c>
      <c r="AB60" s="83">
        <f t="shared" ref="AB60:AB67" si="64">(AA60/Z59)</f>
        <v>4.9476571643138033E-2</v>
      </c>
      <c r="AC60" s="7">
        <f t="shared" si="35"/>
        <v>1.049476571643138</v>
      </c>
      <c r="AD60" s="2">
        <f t="shared" si="36"/>
        <v>0</v>
      </c>
      <c r="AF60">
        <f t="shared" si="16"/>
        <v>2005</v>
      </c>
      <c r="AG60" s="6">
        <f t="shared" si="50"/>
        <v>0.25282192106177809</v>
      </c>
      <c r="AH60" s="7"/>
      <c r="AI60" s="6">
        <f t="shared" si="58"/>
        <v>0.28338549471244645</v>
      </c>
      <c r="AJ60" s="6">
        <f t="shared" si="59"/>
        <v>0.14976878197139176</v>
      </c>
      <c r="AK60" s="7"/>
      <c r="AL60" s="6">
        <f t="shared" si="62"/>
        <v>2.4805583025704667E-2</v>
      </c>
      <c r="AM60" s="6">
        <f t="shared" si="17"/>
        <v>0.28921821922867913</v>
      </c>
      <c r="AN60" s="6">
        <f t="shared" si="37"/>
        <v>1</v>
      </c>
      <c r="AO60" s="7">
        <f t="shared" si="38"/>
        <v>0.71078178077132093</v>
      </c>
      <c r="AP60" s="7">
        <f t="shared" si="39"/>
        <v>0</v>
      </c>
    </row>
    <row r="61" spans="1:42" x14ac:dyDescent="0.2">
      <c r="A61">
        <f t="shared" si="14"/>
        <v>2006</v>
      </c>
      <c r="B61" s="2">
        <f t="shared" si="49"/>
        <v>103701.37033422658</v>
      </c>
      <c r="C61" s="2"/>
      <c r="D61" s="2">
        <f t="shared" si="51"/>
        <v>114184.2396556106</v>
      </c>
      <c r="E61" s="2">
        <f t="shared" si="52"/>
        <v>61439.99209341831</v>
      </c>
      <c r="F61" s="2"/>
      <c r="G61" s="2">
        <f t="shared" si="46"/>
        <v>11142.220225698262</v>
      </c>
      <c r="H61" s="2">
        <f t="shared" si="21"/>
        <v>106966.23422324601</v>
      </c>
      <c r="I61" s="2">
        <f t="shared" si="22"/>
        <v>397434.05653219973</v>
      </c>
      <c r="J61" s="2">
        <f t="shared" si="23"/>
        <v>35259.277244615718</v>
      </c>
      <c r="K61" s="83">
        <f t="shared" si="24"/>
        <v>9.7354314162826264E-2</v>
      </c>
      <c r="L61" s="7">
        <f t="shared" si="25"/>
        <v>1.0973543141628264</v>
      </c>
      <c r="N61">
        <f t="shared" si="26"/>
        <v>2006</v>
      </c>
      <c r="O61" s="2">
        <f t="shared" si="27"/>
        <v>7661.2328389960148</v>
      </c>
      <c r="P61" s="2"/>
      <c r="Q61" s="2"/>
      <c r="R61">
        <f t="shared" si="60"/>
        <v>2006</v>
      </c>
      <c r="S61" s="2">
        <f t="shared" si="53"/>
        <v>102169.12376642738</v>
      </c>
      <c r="T61" s="2"/>
      <c r="U61" s="2">
        <f t="shared" si="54"/>
        <v>112651.9930878114</v>
      </c>
      <c r="V61" s="2">
        <f t="shared" si="55"/>
        <v>59907.74552561911</v>
      </c>
      <c r="W61" s="2"/>
      <c r="X61" s="2">
        <f t="shared" si="56"/>
        <v>9609.9736578990596</v>
      </c>
      <c r="Y61" s="2">
        <f t="shared" si="57"/>
        <v>105433.98765544681</v>
      </c>
      <c r="Z61" s="2">
        <f t="shared" si="61"/>
        <v>389772.8236932038</v>
      </c>
      <c r="AA61" s="2">
        <f t="shared" si="63"/>
        <v>35072.417907079333</v>
      </c>
      <c r="AB61" s="83">
        <f t="shared" si="64"/>
        <v>9.8878990085585441E-2</v>
      </c>
      <c r="AC61" s="7">
        <f t="shared" si="35"/>
        <v>1.0988789900855855</v>
      </c>
      <c r="AD61" s="2">
        <f t="shared" si="36"/>
        <v>0</v>
      </c>
      <c r="AF61">
        <f t="shared" si="16"/>
        <v>2006</v>
      </c>
      <c r="AG61" s="6">
        <f t="shared" si="50"/>
        <v>0.26212480079638972</v>
      </c>
      <c r="AH61" s="7"/>
      <c r="AI61" s="6">
        <f t="shared" si="58"/>
        <v>0.28901961922435493</v>
      </c>
      <c r="AJ61" s="6">
        <f t="shared" si="59"/>
        <v>0.15369913417250819</v>
      </c>
      <c r="AK61" s="7"/>
      <c r="AL61" s="6">
        <f t="shared" si="62"/>
        <v>2.4655319903634992E-2</v>
      </c>
      <c r="AM61" s="6">
        <f t="shared" si="17"/>
        <v>0.27050112590311204</v>
      </c>
      <c r="AN61" s="6">
        <f t="shared" si="37"/>
        <v>1</v>
      </c>
      <c r="AO61" s="7">
        <f t="shared" si="38"/>
        <v>0.72949887409688796</v>
      </c>
      <c r="AP61" s="7">
        <f t="shared" si="39"/>
        <v>0</v>
      </c>
    </row>
    <row r="62" spans="1:42" x14ac:dyDescent="0.2">
      <c r="A62">
        <f t="shared" si="14"/>
        <v>2007</v>
      </c>
      <c r="B62" s="2">
        <f t="shared" si="49"/>
        <v>107676.03953743783</v>
      </c>
      <c r="C62" s="2"/>
      <c r="D62" s="2">
        <f t="shared" si="51"/>
        <v>119434.76959162853</v>
      </c>
      <c r="E62" s="2">
        <f t="shared" si="52"/>
        <v>60600.279063895265</v>
      </c>
      <c r="F62" s="2"/>
      <c r="G62" s="2">
        <f t="shared" si="46"/>
        <v>11101.633769078151</v>
      </c>
      <c r="H62" s="2">
        <f t="shared" si="21"/>
        <v>112730.01960120372</v>
      </c>
      <c r="I62" s="2">
        <f t="shared" si="22"/>
        <v>411542.74156324356</v>
      </c>
      <c r="J62" s="2">
        <f t="shared" si="23"/>
        <v>14108.685031043831</v>
      </c>
      <c r="K62" s="83">
        <f t="shared" si="24"/>
        <v>3.5499436445252795E-2</v>
      </c>
      <c r="L62" s="7">
        <f t="shared" si="25"/>
        <v>1.0354994364452528</v>
      </c>
      <c r="N62">
        <f t="shared" si="26"/>
        <v>2007</v>
      </c>
      <c r="O62" s="2">
        <f t="shared" si="27"/>
        <v>7975.3433853948509</v>
      </c>
      <c r="P62" s="2"/>
      <c r="Q62" s="2"/>
      <c r="R62">
        <f t="shared" si="60"/>
        <v>2007</v>
      </c>
      <c r="S62" s="2">
        <f t="shared" si="53"/>
        <v>106080.97086035885</v>
      </c>
      <c r="T62" s="2"/>
      <c r="U62" s="2">
        <f t="shared" si="54"/>
        <v>117839.70091454955</v>
      </c>
      <c r="V62" s="2">
        <f t="shared" si="55"/>
        <v>59005.210386816296</v>
      </c>
      <c r="W62" s="2"/>
      <c r="X62" s="2">
        <f t="shared" si="56"/>
        <v>9506.5650919991804</v>
      </c>
      <c r="Y62" s="2">
        <f t="shared" si="57"/>
        <v>111134.95092412474</v>
      </c>
      <c r="Z62" s="2">
        <f t="shared" si="61"/>
        <v>403567.39817784866</v>
      </c>
      <c r="AA62" s="2">
        <f t="shared" si="63"/>
        <v>13794.574484644865</v>
      </c>
      <c r="AB62" s="83">
        <f t="shared" si="64"/>
        <v>3.5391319368901893E-2</v>
      </c>
      <c r="AC62" s="7">
        <f t="shared" si="35"/>
        <v>1.0353913193689019</v>
      </c>
      <c r="AD62" s="2">
        <f t="shared" si="36"/>
        <v>0</v>
      </c>
      <c r="AF62">
        <f t="shared" si="16"/>
        <v>2007</v>
      </c>
      <c r="AG62" s="6">
        <f t="shared" si="50"/>
        <v>0.26285812813256509</v>
      </c>
      <c r="AH62" s="7"/>
      <c r="AI62" s="6">
        <f t="shared" si="58"/>
        <v>0.29199509535856666</v>
      </c>
      <c r="AJ62" s="6">
        <f t="shared" si="59"/>
        <v>0.14620906112146653</v>
      </c>
      <c r="AK62" s="7"/>
      <c r="AL62" s="6">
        <f t="shared" si="62"/>
        <v>2.3556325746138987E-2</v>
      </c>
      <c r="AM62" s="6">
        <f t="shared" si="17"/>
        <v>0.27538138964126269</v>
      </c>
      <c r="AN62" s="6">
        <f t="shared" si="37"/>
        <v>0.99999999999999989</v>
      </c>
      <c r="AO62" s="7">
        <f t="shared" si="38"/>
        <v>0.7246186103587372</v>
      </c>
      <c r="AP62" s="7">
        <f t="shared" si="39"/>
        <v>0</v>
      </c>
    </row>
    <row r="63" spans="1:42" x14ac:dyDescent="0.2">
      <c r="A63">
        <f t="shared" si="14"/>
        <v>2008</v>
      </c>
      <c r="B63" s="2">
        <f t="shared" si="49"/>
        <v>66809.79544785399</v>
      </c>
      <c r="C63" s="2"/>
      <c r="D63" s="2">
        <f t="shared" si="51"/>
        <v>68554.424404048361</v>
      </c>
      <c r="E63" s="2">
        <f t="shared" si="52"/>
        <v>37722.031000291659</v>
      </c>
      <c r="F63" s="2"/>
      <c r="G63" s="2">
        <f t="shared" si="46"/>
        <v>5314.0748207766219</v>
      </c>
      <c r="H63" s="2">
        <f t="shared" si="21"/>
        <v>116747.26594579304</v>
      </c>
      <c r="I63" s="2">
        <f t="shared" si="22"/>
        <v>295147.59161876363</v>
      </c>
      <c r="J63" s="2">
        <f t="shared" si="23"/>
        <v>-116395.14994447993</v>
      </c>
      <c r="K63" s="83">
        <f t="shared" si="24"/>
        <v>-0.28282639490215133</v>
      </c>
      <c r="L63" s="7">
        <f t="shared" si="25"/>
        <v>0.71717360509784867</v>
      </c>
      <c r="N63">
        <f t="shared" si="26"/>
        <v>2008</v>
      </c>
      <c r="O63" s="2">
        <f t="shared" si="27"/>
        <v>7975.3433853948509</v>
      </c>
      <c r="P63" s="2"/>
      <c r="Q63" s="2"/>
      <c r="R63">
        <f t="shared" si="60"/>
        <v>2008</v>
      </c>
      <c r="S63" s="2">
        <f t="shared" si="53"/>
        <v>65214.726770775022</v>
      </c>
      <c r="T63" s="2"/>
      <c r="U63" s="2">
        <f t="shared" si="54"/>
        <v>66959.355726969385</v>
      </c>
      <c r="V63" s="2">
        <f t="shared" si="55"/>
        <v>36126.962323212691</v>
      </c>
      <c r="W63" s="2"/>
      <c r="X63" s="2">
        <f t="shared" si="56"/>
        <v>3719.0061436976516</v>
      </c>
      <c r="Y63" s="2">
        <f t="shared" si="57"/>
        <v>115152.19726871407</v>
      </c>
      <c r="Z63" s="2">
        <f t="shared" si="61"/>
        <v>287172.24823336885</v>
      </c>
      <c r="AA63" s="2">
        <f t="shared" si="63"/>
        <v>-116395.14994447981</v>
      </c>
      <c r="AB63" s="83">
        <f t="shared" si="64"/>
        <v>-0.28841564127830138</v>
      </c>
      <c r="AC63" s="7">
        <f t="shared" si="35"/>
        <v>0.71158435872169856</v>
      </c>
      <c r="AD63" s="2">
        <f t="shared" si="36"/>
        <v>0</v>
      </c>
      <c r="AF63">
        <f t="shared" si="16"/>
        <v>2008</v>
      </c>
      <c r="AG63" s="6">
        <f t="shared" si="50"/>
        <v>0.22709271934166372</v>
      </c>
      <c r="AH63" s="7"/>
      <c r="AI63" s="6">
        <f t="shared" si="58"/>
        <v>0.23316791973768738</v>
      </c>
      <c r="AJ63" s="6">
        <f t="shared" si="59"/>
        <v>0.12580241491111746</v>
      </c>
      <c r="AK63" s="7"/>
      <c r="AL63" s="6">
        <f t="shared" si="62"/>
        <v>1.2950437121192237E-2</v>
      </c>
      <c r="AM63" s="6">
        <f t="shared" si="17"/>
        <v>0.40098650888833903</v>
      </c>
      <c r="AN63" s="6">
        <f t="shared" si="37"/>
        <v>0.99999999999999978</v>
      </c>
      <c r="AO63" s="7">
        <f t="shared" si="38"/>
        <v>0.5990134911116608</v>
      </c>
      <c r="AP63" s="7">
        <f t="shared" si="39"/>
        <v>0</v>
      </c>
    </row>
    <row r="64" spans="1:42" x14ac:dyDescent="0.2">
      <c r="A64">
        <f t="shared" si="14"/>
        <v>2009</v>
      </c>
      <c r="B64" s="2">
        <f t="shared" si="49"/>
        <v>82490.10789235332</v>
      </c>
      <c r="C64" s="2"/>
      <c r="D64" s="2">
        <f t="shared" si="51"/>
        <v>93889.06941324193</v>
      </c>
      <c r="E64" s="2">
        <f t="shared" si="52"/>
        <v>49175.298575110653</v>
      </c>
      <c r="F64" s="2"/>
      <c r="G64" s="2">
        <f t="shared" si="46"/>
        <v>5084.8855300934883</v>
      </c>
      <c r="H64" s="2">
        <f t="shared" si="21"/>
        <v>121980.72256674879</v>
      </c>
      <c r="I64" s="2">
        <f t="shared" si="22"/>
        <v>352620.08397754817</v>
      </c>
      <c r="J64" s="2">
        <f t="shared" si="23"/>
        <v>57472.492358784541</v>
      </c>
      <c r="K64" s="83">
        <f t="shared" si="24"/>
        <v>0.1947245852272467</v>
      </c>
      <c r="L64" s="7">
        <f t="shared" si="25"/>
        <v>1.1947245852272468</v>
      </c>
      <c r="N64">
        <f t="shared" si="26"/>
        <v>2009</v>
      </c>
      <c r="O64" s="2">
        <f t="shared" si="27"/>
        <v>8198.6530001859064</v>
      </c>
      <c r="P64" s="2"/>
      <c r="Q64" s="2"/>
      <c r="R64">
        <f t="shared" si="60"/>
        <v>2009</v>
      </c>
      <c r="S64" s="2">
        <f t="shared" si="53"/>
        <v>80850.377292316145</v>
      </c>
      <c r="T64" s="2"/>
      <c r="U64" s="2">
        <f t="shared" si="54"/>
        <v>92249.338813204755</v>
      </c>
      <c r="V64" s="2">
        <f t="shared" si="55"/>
        <v>47535.567975073471</v>
      </c>
      <c r="W64" s="2"/>
      <c r="X64" s="2">
        <f t="shared" si="56"/>
        <v>3445.154930056307</v>
      </c>
      <c r="Y64" s="2">
        <f t="shared" si="57"/>
        <v>120340.99196671162</v>
      </c>
      <c r="Z64" s="2">
        <f t="shared" si="61"/>
        <v>344421.43097736232</v>
      </c>
      <c r="AA64" s="2">
        <f t="shared" si="63"/>
        <v>57249.182743993471</v>
      </c>
      <c r="AB64" s="83">
        <f t="shared" si="64"/>
        <v>0.19935485791604157</v>
      </c>
      <c r="AC64" s="7">
        <f t="shared" si="35"/>
        <v>1.1993548579160416</v>
      </c>
      <c r="AD64" s="2">
        <f t="shared" si="36"/>
        <v>0</v>
      </c>
      <c r="AF64">
        <f t="shared" si="16"/>
        <v>2009</v>
      </c>
      <c r="AG64" s="6">
        <f t="shared" si="50"/>
        <v>0.23474258574121704</v>
      </c>
      <c r="AH64" s="7"/>
      <c r="AI64" s="6">
        <f t="shared" si="58"/>
        <v>0.26783855624613556</v>
      </c>
      <c r="AJ64" s="6">
        <f t="shared" si="59"/>
        <v>0.13801570895336598</v>
      </c>
      <c r="AK64" s="7"/>
      <c r="AL64" s="6">
        <f t="shared" si="62"/>
        <v>1.0002731015546898E-2</v>
      </c>
      <c r="AM64" s="6">
        <f t="shared" si="17"/>
        <v>0.34940041804373445</v>
      </c>
      <c r="AN64" s="6">
        <f t="shared" si="37"/>
        <v>1</v>
      </c>
      <c r="AO64" s="7">
        <f t="shared" si="38"/>
        <v>0.65059958195626555</v>
      </c>
      <c r="AP64" s="7">
        <f t="shared" si="39"/>
        <v>0</v>
      </c>
    </row>
    <row r="65" spans="1:42" x14ac:dyDescent="0.2">
      <c r="A65">
        <f t="shared" si="14"/>
        <v>2010</v>
      </c>
      <c r="B65" s="2">
        <f t="shared" si="49"/>
        <v>92905.168546600486</v>
      </c>
      <c r="C65" s="2"/>
      <c r="D65" s="2">
        <f t="shared" si="51"/>
        <v>115736.02047504668</v>
      </c>
      <c r="E65" s="2">
        <f t="shared" si="52"/>
        <v>60712.427417763844</v>
      </c>
      <c r="F65" s="2"/>
      <c r="G65" s="2">
        <f t="shared" si="46"/>
        <v>3828.2561582785684</v>
      </c>
      <c r="H65" s="2">
        <f t="shared" si="21"/>
        <v>128066.88365097452</v>
      </c>
      <c r="I65" s="2">
        <f t="shared" si="22"/>
        <v>401248.75624866411</v>
      </c>
      <c r="J65" s="2">
        <f t="shared" si="23"/>
        <v>48628.672271115938</v>
      </c>
      <c r="K65" s="83">
        <f t="shared" si="24"/>
        <v>0.13790670038582428</v>
      </c>
      <c r="L65" s="7">
        <f t="shared" si="25"/>
        <v>1.1379067003858243</v>
      </c>
      <c r="N65">
        <f t="shared" si="26"/>
        <v>2010</v>
      </c>
      <c r="O65" s="2">
        <f t="shared" si="27"/>
        <v>8313.4341421885092</v>
      </c>
      <c r="P65" s="2"/>
      <c r="Q65" s="2"/>
      <c r="R65">
        <f t="shared" si="60"/>
        <v>2010</v>
      </c>
      <c r="S65" s="2">
        <f t="shared" si="53"/>
        <v>91242.481718162788</v>
      </c>
      <c r="T65" s="2"/>
      <c r="U65" s="2">
        <f t="shared" si="54"/>
        <v>114073.33364660898</v>
      </c>
      <c r="V65" s="2">
        <f t="shared" si="55"/>
        <v>59049.740589326138</v>
      </c>
      <c r="W65" s="2"/>
      <c r="X65" s="2">
        <f t="shared" si="56"/>
        <v>2165.5693298408664</v>
      </c>
      <c r="Y65" s="2">
        <f t="shared" si="57"/>
        <v>126404.19682253682</v>
      </c>
      <c r="Z65" s="2">
        <f t="shared" si="61"/>
        <v>392935.32210647559</v>
      </c>
      <c r="AA65" s="2">
        <f t="shared" si="63"/>
        <v>48513.891129113268</v>
      </c>
      <c r="AB65" s="83">
        <f t="shared" si="64"/>
        <v>0.14085619176322953</v>
      </c>
      <c r="AC65" s="7">
        <f t="shared" si="35"/>
        <v>1.1408561917632296</v>
      </c>
      <c r="AD65" s="2">
        <f t="shared" si="36"/>
        <v>0</v>
      </c>
      <c r="AF65">
        <f t="shared" si="16"/>
        <v>2010</v>
      </c>
      <c r="AG65" s="6">
        <f t="shared" si="50"/>
        <v>0.23220738015870807</v>
      </c>
      <c r="AH65" s="7"/>
      <c r="AI65" s="6">
        <f t="shared" si="58"/>
        <v>0.29031071331301178</v>
      </c>
      <c r="AJ65" s="6">
        <f t="shared" si="59"/>
        <v>0.1502785249052391</v>
      </c>
      <c r="AK65" s="7"/>
      <c r="AL65" s="6">
        <f t="shared" si="62"/>
        <v>5.5112615435831229E-3</v>
      </c>
      <c r="AM65" s="6">
        <f t="shared" si="17"/>
        <v>0.32169212007945791</v>
      </c>
      <c r="AN65" s="6">
        <f t="shared" si="37"/>
        <v>1</v>
      </c>
      <c r="AO65" s="7">
        <f t="shared" si="38"/>
        <v>0.67830787992054209</v>
      </c>
      <c r="AP65" s="7">
        <f t="shared" si="39"/>
        <v>0</v>
      </c>
    </row>
    <row r="66" spans="1:42" x14ac:dyDescent="0.2">
      <c r="A66">
        <f t="shared" si="14"/>
        <v>2011</v>
      </c>
      <c r="B66" s="2">
        <f t="shared" si="49"/>
        <v>93039.958608010595</v>
      </c>
      <c r="C66" s="2"/>
      <c r="D66" s="2">
        <f t="shared" si="51"/>
        <v>111666.38630666553</v>
      </c>
      <c r="E66" s="2">
        <f t="shared" si="52"/>
        <v>57396.347852825005</v>
      </c>
      <c r="F66" s="2"/>
      <c r="G66" s="2">
        <f t="shared" si="46"/>
        <v>1850.2624354160364</v>
      </c>
      <c r="H66" s="2">
        <f t="shared" si="21"/>
        <v>135960.35410232062</v>
      </c>
      <c r="I66" s="2">
        <f t="shared" si="22"/>
        <v>399913.30930523778</v>
      </c>
      <c r="J66" s="2">
        <f t="shared" si="23"/>
        <v>-1335.4469434263301</v>
      </c>
      <c r="K66" s="83">
        <f t="shared" si="24"/>
        <v>-3.32822699791428E-3</v>
      </c>
      <c r="L66" s="7">
        <f t="shared" si="25"/>
        <v>0.99667177300208576</v>
      </c>
      <c r="N66">
        <f t="shared" si="26"/>
        <v>2011</v>
      </c>
      <c r="O66" s="2">
        <f t="shared" si="27"/>
        <v>8562.8371664541646</v>
      </c>
      <c r="P66" s="2"/>
      <c r="Q66" s="2"/>
      <c r="R66">
        <f t="shared" si="60"/>
        <v>2011</v>
      </c>
      <c r="S66" s="2">
        <f t="shared" si="53"/>
        <v>91327.391174719756</v>
      </c>
      <c r="T66" s="2"/>
      <c r="U66" s="2">
        <f t="shared" si="54"/>
        <v>109953.81887337469</v>
      </c>
      <c r="V66" s="2">
        <f t="shared" si="55"/>
        <v>55683.780419534174</v>
      </c>
      <c r="W66" s="2"/>
      <c r="X66" s="2">
        <f t="shared" si="56"/>
        <v>137.69500212520347</v>
      </c>
      <c r="Y66" s="2">
        <f t="shared" si="57"/>
        <v>134247.7866690298</v>
      </c>
      <c r="Z66" s="2">
        <f t="shared" si="61"/>
        <v>391350.47213878366</v>
      </c>
      <c r="AA66" s="2">
        <f t="shared" si="63"/>
        <v>-1584.8499676919309</v>
      </c>
      <c r="AB66" s="83">
        <f t="shared" si="64"/>
        <v>-4.033360908344291E-3</v>
      </c>
      <c r="AC66" s="7">
        <f t="shared" si="35"/>
        <v>0.99596663909165573</v>
      </c>
      <c r="AD66" s="2">
        <f t="shared" si="36"/>
        <v>0</v>
      </c>
      <c r="AF66">
        <f t="shared" si="16"/>
        <v>2011</v>
      </c>
      <c r="AG66" s="6">
        <f t="shared" si="50"/>
        <v>0.23336471443512796</v>
      </c>
      <c r="AH66" s="7"/>
      <c r="AI66" s="6">
        <f t="shared" si="58"/>
        <v>0.2809599750128372</v>
      </c>
      <c r="AJ66" s="6">
        <f t="shared" si="59"/>
        <v>0.14228622266689683</v>
      </c>
      <c r="AK66" s="7"/>
      <c r="AL66" s="6">
        <f t="shared" si="62"/>
        <v>3.5184575445298819E-4</v>
      </c>
      <c r="AM66" s="6">
        <f t="shared" si="17"/>
        <v>0.34303724213068493</v>
      </c>
      <c r="AN66" s="6">
        <f t="shared" si="37"/>
        <v>1</v>
      </c>
      <c r="AO66" s="7">
        <f t="shared" si="38"/>
        <v>0.65696275786931502</v>
      </c>
      <c r="AP66" s="7">
        <f t="shared" si="39"/>
        <v>0</v>
      </c>
    </row>
    <row r="67" spans="1:42" x14ac:dyDescent="0.2">
      <c r="A67">
        <f t="shared" si="14"/>
        <v>2012</v>
      </c>
      <c r="B67" s="2">
        <f t="shared" si="49"/>
        <v>105775.38445856041</v>
      </c>
      <c r="C67" s="2"/>
      <c r="D67" s="2">
        <f t="shared" si="51"/>
        <v>127326.52225536789</v>
      </c>
      <c r="E67" s="2">
        <f t="shared" si="52"/>
        <v>65729.134407218153</v>
      </c>
      <c r="F67" s="2"/>
      <c r="G67" s="2">
        <f t="shared" si="46"/>
        <v>162.67287551071539</v>
      </c>
      <c r="H67" s="2">
        <f t="shared" si="21"/>
        <v>139684.8220291255</v>
      </c>
      <c r="I67" s="2">
        <f t="shared" si="22"/>
        <v>438678.5360257827</v>
      </c>
      <c r="J67" s="2">
        <f t="shared" si="23"/>
        <v>38765.226720544917</v>
      </c>
      <c r="K67" s="83">
        <f t="shared" si="24"/>
        <v>9.6934075007133552E-2</v>
      </c>
      <c r="L67" s="7">
        <f t="shared" si="25"/>
        <v>1.0969340750071335</v>
      </c>
      <c r="N67">
        <f t="shared" si="26"/>
        <v>2012</v>
      </c>
      <c r="O67" s="2">
        <f t="shared" si="27"/>
        <v>8716.9682354503402</v>
      </c>
      <c r="P67" s="2"/>
      <c r="Q67" s="2"/>
      <c r="R67">
        <f t="shared" si="60"/>
        <v>2012</v>
      </c>
      <c r="S67" s="2">
        <f t="shared" si="53"/>
        <v>104031.99081147034</v>
      </c>
      <c r="T67" s="2"/>
      <c r="U67" s="2">
        <f t="shared" si="54"/>
        <v>125583.12860827782</v>
      </c>
      <c r="V67" s="2">
        <f t="shared" si="55"/>
        <v>63985.740760128087</v>
      </c>
      <c r="W67" s="2"/>
      <c r="X67" s="2">
        <f t="shared" si="56"/>
        <v>-1580.7207715793527</v>
      </c>
      <c r="Y67" s="2">
        <f t="shared" si="57"/>
        <v>137941.42838203543</v>
      </c>
      <c r="Z67" s="2">
        <f t="shared" si="61"/>
        <v>429961.56779033237</v>
      </c>
      <c r="AA67" s="2">
        <f t="shared" si="63"/>
        <v>38611.095651548705</v>
      </c>
      <c r="AB67" s="83">
        <f t="shared" si="64"/>
        <v>9.8661170486223776E-2</v>
      </c>
      <c r="AC67" s="7">
        <f t="shared" si="35"/>
        <v>1.0986611704862237</v>
      </c>
      <c r="AD67" s="2">
        <f t="shared" si="36"/>
        <v>0</v>
      </c>
      <c r="AF67">
        <f t="shared" si="16"/>
        <v>2012</v>
      </c>
      <c r="AG67" s="6">
        <f t="shared" si="50"/>
        <v>0.24195648775334447</v>
      </c>
      <c r="AH67" s="7"/>
      <c r="AI67" s="6">
        <f t="shared" si="58"/>
        <v>0.29207989275338564</v>
      </c>
      <c r="AJ67" s="6">
        <f t="shared" si="59"/>
        <v>0.14881734916207737</v>
      </c>
      <c r="AK67" s="7"/>
      <c r="AL67" s="6">
        <f t="shared" si="62"/>
        <v>-3.6764234061733157E-3</v>
      </c>
      <c r="AM67" s="6">
        <f t="shared" si="17"/>
        <v>0.32082269373736577</v>
      </c>
      <c r="AN67" s="6">
        <f t="shared" si="37"/>
        <v>0.99999999999999978</v>
      </c>
      <c r="AO67" s="7">
        <f t="shared" si="38"/>
        <v>0.67917730626263406</v>
      </c>
      <c r="AP67" s="7">
        <f t="shared" si="39"/>
        <v>0</v>
      </c>
    </row>
    <row r="68" spans="1:42" x14ac:dyDescent="0.2">
      <c r="A68">
        <f t="shared" si="14"/>
        <v>2013</v>
      </c>
      <c r="B68" s="2">
        <f t="shared" si="49"/>
        <v>137509.4854546015</v>
      </c>
      <c r="C68" s="2"/>
      <c r="D68" s="2">
        <f t="shared" si="51"/>
        <v>169537.22362117507</v>
      </c>
      <c r="E68" s="2">
        <f t="shared" si="52"/>
        <v>88057.176434088266</v>
      </c>
      <c r="F68" s="2"/>
      <c r="G68" s="2">
        <f t="shared" si="46"/>
        <v>-1818.4611756248871</v>
      </c>
      <c r="H68" s="2">
        <f t="shared" si="21"/>
        <v>134823.95210060143</v>
      </c>
      <c r="I68" s="2">
        <f t="shared" ref="I68:I69" si="65">SUM(B68:H68)</f>
        <v>528109.37643484143</v>
      </c>
      <c r="J68" s="2">
        <f t="shared" ref="J68:J69" si="66">I68-I67</f>
        <v>89430.840409058728</v>
      </c>
      <c r="K68" s="83">
        <f t="shared" ref="K68:K69" si="67">(J68/I67)</f>
        <v>0.20386418086296013</v>
      </c>
      <c r="L68" s="7">
        <f t="shared" ref="L68:L69" si="68">K68+1</f>
        <v>1.2038641808629602</v>
      </c>
      <c r="N68">
        <f t="shared" ref="N68:N69" si="69">A68</f>
        <v>2013</v>
      </c>
      <c r="O68" s="2">
        <f t="shared" si="27"/>
        <v>8817.7007973373929</v>
      </c>
      <c r="P68" s="2"/>
      <c r="Q68" s="2"/>
      <c r="R68">
        <f t="shared" ref="R68:R69" si="70">A68</f>
        <v>2013</v>
      </c>
      <c r="S68" s="2">
        <f t="shared" ref="S68:S69" si="71">B68-($O68/5)</f>
        <v>135745.94529513401</v>
      </c>
      <c r="T68" s="2"/>
      <c r="U68" s="2">
        <f t="shared" ref="U68:U69" si="72">D68-($O68/5)</f>
        <v>167773.68346170758</v>
      </c>
      <c r="V68" s="2">
        <f t="shared" ref="V68:V69" si="73">E68-($O68/5)</f>
        <v>86293.636274620789</v>
      </c>
      <c r="W68" s="2"/>
      <c r="X68" s="2">
        <f t="shared" ref="X68:X69" si="74">G68-($O68/5)</f>
        <v>-3582.0013350923655</v>
      </c>
      <c r="Y68" s="2">
        <f t="shared" ref="Y68:Y69" si="75">H68-($O68/5)</f>
        <v>133060.41194113393</v>
      </c>
      <c r="Z68" s="2">
        <f t="shared" ref="Z68:Z69" si="76">SUM(S68:Y68)</f>
        <v>519291.67563750397</v>
      </c>
      <c r="AA68" s="2">
        <f t="shared" ref="AA68:AA69" si="77">Z68-Z67</f>
        <v>89330.107847171603</v>
      </c>
      <c r="AB68" s="83">
        <f t="shared" ref="AB68:AB69" si="78">(AA68/Z67)</f>
        <v>0.20776300613624327</v>
      </c>
      <c r="AC68" s="7">
        <f t="shared" ref="AC68:AC69" si="79">AB68+1</f>
        <v>1.2077630061362432</v>
      </c>
      <c r="AD68" s="2">
        <f t="shared" ref="AD68:AD69" si="80">Z68-(I68-O68)</f>
        <v>0</v>
      </c>
      <c r="AF68">
        <f t="shared" ref="AF68:AF69" si="81">A68</f>
        <v>2013</v>
      </c>
      <c r="AG68" s="6">
        <f t="shared" ref="AG68:AG69" si="82">S68/$Z68</f>
        <v>0.26140597214173839</v>
      </c>
      <c r="AH68" s="7"/>
      <c r="AI68" s="6">
        <f t="shared" ref="AI68:AI69" si="83">U68/$Z68</f>
        <v>0.32308178877649379</v>
      </c>
      <c r="AJ68" s="6">
        <f t="shared" ref="AJ68:AJ69" si="84">V68/$Z68</f>
        <v>0.16617565873491646</v>
      </c>
      <c r="AK68" s="7"/>
      <c r="AL68" s="6">
        <f t="shared" ref="AL68:AL69" si="85">X68/$Z68</f>
        <v>-6.897860110495614E-3</v>
      </c>
      <c r="AM68" s="6">
        <f t="shared" ref="AM68:AM69" si="86">Y68/$Z68</f>
        <v>0.25623444045734695</v>
      </c>
      <c r="AN68" s="6">
        <f t="shared" ref="AN68:AN69" si="87">SUM(AG68:AM68)</f>
        <v>1</v>
      </c>
      <c r="AO68" s="7">
        <f t="shared" ref="AO68:AO69" si="88">SUM(AG68:AL68)</f>
        <v>0.743765559542653</v>
      </c>
      <c r="AP68" s="7">
        <f t="shared" ref="AP68:AP69" si="89">AN68-(AO68+AM68)</f>
        <v>0</v>
      </c>
    </row>
    <row r="69" spans="1:42" x14ac:dyDescent="0.2">
      <c r="A69">
        <f t="shared" si="14"/>
        <v>2014</v>
      </c>
      <c r="B69" s="2">
        <f t="shared" si="49"/>
        <v>154085.22250450662</v>
      </c>
      <c r="C69" s="2"/>
      <c r="D69" s="2">
        <f t="shared" si="51"/>
        <v>190590.90441249983</v>
      </c>
      <c r="E69" s="2">
        <f t="shared" si="52"/>
        <v>92653.477268060349</v>
      </c>
      <c r="F69" s="2"/>
      <c r="G69" s="2">
        <f t="shared" si="46"/>
        <v>-3430.1244784844494</v>
      </c>
      <c r="H69" s="2">
        <f t="shared" si="21"/>
        <v>140724.69166894327</v>
      </c>
      <c r="I69" s="2">
        <f t="shared" si="65"/>
        <v>574624.17137552565</v>
      </c>
      <c r="J69" s="2">
        <f t="shared" si="66"/>
        <v>46514.794940684224</v>
      </c>
      <c r="K69" s="83">
        <f t="shared" si="67"/>
        <v>8.8077956984396119E-2</v>
      </c>
      <c r="L69" s="7">
        <f t="shared" si="68"/>
        <v>1.0880779569843961</v>
      </c>
      <c r="N69">
        <f t="shared" si="69"/>
        <v>2014</v>
      </c>
      <c r="O69" s="2">
        <f t="shared" si="27"/>
        <v>8931.4491376230453</v>
      </c>
      <c r="P69" s="2"/>
      <c r="R69">
        <f t="shared" si="70"/>
        <v>2014</v>
      </c>
      <c r="S69" s="2">
        <f t="shared" si="71"/>
        <v>152298.93267698202</v>
      </c>
      <c r="T69" s="2"/>
      <c r="U69" s="2">
        <f t="shared" si="72"/>
        <v>188804.61458497524</v>
      </c>
      <c r="V69" s="2">
        <f t="shared" si="73"/>
        <v>90867.187440535738</v>
      </c>
      <c r="W69" s="2"/>
      <c r="X69" s="2">
        <f t="shared" si="74"/>
        <v>-5216.4143060090582</v>
      </c>
      <c r="Y69" s="2">
        <f t="shared" si="75"/>
        <v>138938.40184141867</v>
      </c>
      <c r="Z69" s="2">
        <f t="shared" si="76"/>
        <v>565692.72223790258</v>
      </c>
      <c r="AA69" s="2">
        <f t="shared" si="77"/>
        <v>46401.046600398608</v>
      </c>
      <c r="AB69" s="83">
        <f t="shared" si="78"/>
        <v>8.9354497245569667E-2</v>
      </c>
      <c r="AC69" s="7">
        <f t="shared" si="79"/>
        <v>1.0893544972455698</v>
      </c>
      <c r="AD69" s="2">
        <f t="shared" si="80"/>
        <v>0</v>
      </c>
      <c r="AF69">
        <f t="shared" si="81"/>
        <v>2014</v>
      </c>
      <c r="AG69" s="6">
        <f t="shared" si="82"/>
        <v>0.2692255471742353</v>
      </c>
      <c r="AH69" s="7"/>
      <c r="AI69" s="6">
        <f t="shared" si="83"/>
        <v>0.33375825278086801</v>
      </c>
      <c r="AJ69" s="6">
        <f t="shared" si="84"/>
        <v>0.16062993895530703</v>
      </c>
      <c r="AK69" s="7"/>
      <c r="AL69" s="6">
        <f t="shared" si="85"/>
        <v>-9.221285869425222E-3</v>
      </c>
      <c r="AM69" s="6">
        <f t="shared" si="86"/>
        <v>0.24560754695901499</v>
      </c>
      <c r="AN69" s="6">
        <f t="shared" si="87"/>
        <v>1</v>
      </c>
      <c r="AO69" s="7">
        <f t="shared" si="88"/>
        <v>0.75439245304098512</v>
      </c>
      <c r="AP69" s="7">
        <f t="shared" si="89"/>
        <v>0</v>
      </c>
    </row>
    <row r="70" spans="1:42" x14ac:dyDescent="0.2">
      <c r="A70">
        <f t="shared" si="14"/>
        <v>2015</v>
      </c>
      <c r="B70" s="2">
        <f t="shared" ref="B70" si="90">S69*(1+(B31/100))</f>
        <v>154202.66933544428</v>
      </c>
      <c r="C70" s="2"/>
      <c r="D70" s="2">
        <f t="shared" ref="D70:E70" si="91">U69*(1+(D31/100))</f>
        <v>186048.0672120346</v>
      </c>
      <c r="E70" s="2">
        <f t="shared" si="91"/>
        <v>87432.407755283479</v>
      </c>
      <c r="F70" s="2"/>
      <c r="G70" s="2">
        <f t="shared" ref="G70:H70" si="92">X69*(1+(G31/100))</f>
        <v>-4988.4570008364626</v>
      </c>
      <c r="H70" s="2">
        <f t="shared" si="92"/>
        <v>139355.21704694291</v>
      </c>
      <c r="I70" s="2">
        <f t="shared" ref="I70" si="93">SUM(B70:H70)</f>
        <v>562049.90434886888</v>
      </c>
      <c r="J70" s="2">
        <f t="shared" ref="J70" si="94">I70-I69</f>
        <v>-12574.267026656773</v>
      </c>
      <c r="K70" s="83">
        <f t="shared" ref="K70" si="95">(J70/I69)</f>
        <v>-2.1882593272323898E-2</v>
      </c>
      <c r="L70" s="7">
        <f t="shared" ref="L70" si="96">K70+1</f>
        <v>0.97811740672767611</v>
      </c>
      <c r="N70">
        <f t="shared" ref="N70" si="97">A70</f>
        <v>2015</v>
      </c>
      <c r="O70" s="2">
        <f t="shared" si="27"/>
        <v>8970.7475138285863</v>
      </c>
      <c r="P70" s="2"/>
      <c r="R70">
        <f t="shared" ref="R70" si="98">A70</f>
        <v>2015</v>
      </c>
      <c r="S70" s="2">
        <f t="shared" ref="S70" si="99">B70-($O70/5)</f>
        <v>152408.51983267858</v>
      </c>
      <c r="T70" s="2"/>
      <c r="U70" s="2">
        <f t="shared" ref="U70" si="100">D70-($O70/5)</f>
        <v>184253.91770926889</v>
      </c>
      <c r="V70" s="2">
        <f t="shared" ref="V70" si="101">E70-($O70/5)</f>
        <v>85638.258252517757</v>
      </c>
      <c r="W70" s="2"/>
      <c r="X70" s="2">
        <f t="shared" ref="X70" si="102">G70-($O70/5)</f>
        <v>-6782.6065036021801</v>
      </c>
      <c r="Y70" s="2">
        <f t="shared" ref="Y70" si="103">H70-($O70/5)</f>
        <v>137561.0675441772</v>
      </c>
      <c r="Z70" s="2">
        <f t="shared" ref="Z70" si="104">SUM(S70:Y70)</f>
        <v>553079.15683504031</v>
      </c>
      <c r="AA70" s="2">
        <f t="shared" ref="AA70" si="105">Z70-Z69</f>
        <v>-12613.565402862267</v>
      </c>
      <c r="AB70" s="83">
        <f t="shared" ref="AB70" si="106">(AA70/Z69)</f>
        <v>-2.2297556441883339E-2</v>
      </c>
      <c r="AC70" s="7">
        <f t="shared" ref="AC70" si="107">AB70+1</f>
        <v>0.97770244355811664</v>
      </c>
      <c r="AD70" s="2">
        <f t="shared" ref="AD70" si="108">Z70-(I70-O70)</f>
        <v>0</v>
      </c>
      <c r="AF70">
        <f t="shared" ref="AF70" si="109">A70</f>
        <v>2015</v>
      </c>
      <c r="AG70" s="6">
        <f t="shared" ref="AG70" si="110">S70/$Z70</f>
        <v>0.27556366561493018</v>
      </c>
      <c r="AH70" s="7"/>
      <c r="AI70" s="6">
        <f t="shared" ref="AI70" si="111">U70/$Z70</f>
        <v>0.33314203840848028</v>
      </c>
      <c r="AJ70" s="6">
        <f t="shared" ref="AJ70" si="112">V70/$Z70</f>
        <v>0.15483906271676762</v>
      </c>
      <c r="AK70" s="7"/>
      <c r="AL70" s="6">
        <f t="shared" ref="AL70" si="113">X70/$Z70</f>
        <v>-1.2263355832129359E-2</v>
      </c>
      <c r="AM70" s="6">
        <f t="shared" ref="AM70" si="114">Y70/$Z70</f>
        <v>0.24871858909195116</v>
      </c>
      <c r="AN70" s="6">
        <f t="shared" ref="AN70" si="115">SUM(AG70:AM70)</f>
        <v>1</v>
      </c>
      <c r="AO70" s="7">
        <f t="shared" ref="AO70" si="116">SUM(AG70:AL70)</f>
        <v>0.75128141090804879</v>
      </c>
      <c r="AP70" s="7">
        <f t="shared" ref="AP70" si="117">AN70-(AO70+AM70)</f>
        <v>0</v>
      </c>
    </row>
    <row r="71" spans="1:42" x14ac:dyDescent="0.2">
      <c r="A71">
        <f t="shared" si="14"/>
        <v>2016</v>
      </c>
      <c r="B71" s="2">
        <f>S70*(1+(B32/100))</f>
        <v>170423.20687690118</v>
      </c>
      <c r="C71" s="2"/>
      <c r="D71" s="2">
        <f t="shared" ref="D71:E73" si="118">U70*(1+(D32/100))</f>
        <v>204650.82639968497</v>
      </c>
      <c r="E71" s="2">
        <f t="shared" si="118"/>
        <v>101198.72977700023</v>
      </c>
      <c r="F71" s="2"/>
      <c r="G71" s="2">
        <f t="shared" ref="G71:H73" si="119">X70*(1+(G32/100))</f>
        <v>-7097.9977060196816</v>
      </c>
      <c r="H71" s="2">
        <f t="shared" si="119"/>
        <v>141000.09423278162</v>
      </c>
      <c r="I71" s="2">
        <f t="shared" ref="I71" si="120">SUM(B71:H71)</f>
        <v>610174.85958034825</v>
      </c>
      <c r="J71" s="2">
        <f t="shared" ref="J71" si="121">I71-I70</f>
        <v>48124.955231479369</v>
      </c>
      <c r="K71" s="83">
        <f t="shared" ref="K71" si="122">(J71/I70)</f>
        <v>8.5623989718905502E-2</v>
      </c>
      <c r="L71" s="7">
        <f t="shared" ref="L71" si="123">K71+1</f>
        <v>1.0856239897189055</v>
      </c>
      <c r="N71">
        <f t="shared" ref="N71" si="124">A71</f>
        <v>2016</v>
      </c>
      <c r="O71" s="2">
        <f t="shared" si="27"/>
        <v>9123.2502215636723</v>
      </c>
      <c r="P71" s="2"/>
      <c r="R71">
        <f t="shared" ref="R71" si="125">A71</f>
        <v>2016</v>
      </c>
      <c r="S71" s="2">
        <f t="shared" ref="S71" si="126">B71-($O71/5)</f>
        <v>168598.55683258845</v>
      </c>
      <c r="T71" s="2"/>
      <c r="U71" s="2">
        <f t="shared" ref="U71" si="127">D71-($O71/5)</f>
        <v>202826.17635537224</v>
      </c>
      <c r="V71" s="2">
        <f t="shared" ref="V71" si="128">E71-($O71/5)</f>
        <v>99374.079732687504</v>
      </c>
      <c r="W71" s="2"/>
      <c r="X71" s="2">
        <f t="shared" ref="X71" si="129">G71-($O71/5)</f>
        <v>-8922.6477503324168</v>
      </c>
      <c r="Y71" s="2">
        <f t="shared" ref="Y71" si="130">H71-($O71/5)</f>
        <v>139175.44418846889</v>
      </c>
      <c r="Z71" s="2">
        <f t="shared" ref="Z71" si="131">SUM(S71:Y71)</f>
        <v>601051.60935878463</v>
      </c>
      <c r="AA71" s="2">
        <f t="shared" ref="AA71" si="132">Z71-Z70</f>
        <v>47972.452523744316</v>
      </c>
      <c r="AB71" s="83">
        <f t="shared" ref="AB71" si="133">(AA71/Z70)</f>
        <v>8.6737046462324802E-2</v>
      </c>
      <c r="AC71" s="7">
        <f t="shared" ref="AC71" si="134">AB71+1</f>
        <v>1.0867370464623247</v>
      </c>
      <c r="AD71" s="2">
        <f t="shared" ref="AD71" si="135">Z71-(I71-O71)</f>
        <v>0</v>
      </c>
      <c r="AF71">
        <f t="shared" ref="AF71" si="136">A71</f>
        <v>2016</v>
      </c>
      <c r="AG71" s="6">
        <f t="shared" ref="AG71" si="137">S71/$Z71</f>
        <v>0.28050595690518687</v>
      </c>
      <c r="AH71" s="7"/>
      <c r="AI71" s="6">
        <f t="shared" ref="AI71" si="138">U71/$Z71</f>
        <v>0.33745218080648975</v>
      </c>
      <c r="AJ71" s="6">
        <f t="shared" ref="AJ71" si="139">V71/$Z71</f>
        <v>0.16533368879704358</v>
      </c>
      <c r="AK71" s="7"/>
      <c r="AL71" s="6">
        <f t="shared" ref="AL71" si="140">X71/$Z71</f>
        <v>-1.4845060908914791E-2</v>
      </c>
      <c r="AM71" s="6">
        <f t="shared" ref="AM71" si="141">Y71/$Z71</f>
        <v>0.23155323440019465</v>
      </c>
      <c r="AN71" s="6">
        <f t="shared" ref="AN71" si="142">SUM(AG71:AM71)</f>
        <v>1</v>
      </c>
      <c r="AO71" s="7">
        <f t="shared" ref="AO71" si="143">SUM(AG71:AL71)</f>
        <v>0.7684467655998054</v>
      </c>
      <c r="AP71" s="7">
        <f t="shared" ref="AP71" si="144">AN71-(AO71+AM71)</f>
        <v>0</v>
      </c>
    </row>
    <row r="72" spans="1:42" x14ac:dyDescent="0.2">
      <c r="A72">
        <f t="shared" si="14"/>
        <v>2017</v>
      </c>
      <c r="B72" s="2">
        <f>S71*(1+(B33/100))</f>
        <v>205133.86409821035</v>
      </c>
      <c r="C72" s="2"/>
      <c r="D72" s="2">
        <f t="shared" si="118"/>
        <v>242580.1069210252</v>
      </c>
      <c r="E72" s="2">
        <f t="shared" si="118"/>
        <v>115373.3065696502</v>
      </c>
      <c r="F72" s="2"/>
      <c r="G72" s="2">
        <f t="shared" si="119"/>
        <v>-11367.453233923499</v>
      </c>
      <c r="H72" s="2">
        <f t="shared" si="119"/>
        <v>143990.91455738991</v>
      </c>
      <c r="I72" s="2">
        <f>SUM(B72:H72)</f>
        <v>695710.73891235213</v>
      </c>
      <c r="J72" s="2">
        <f>I72-I71</f>
        <v>85535.879332003882</v>
      </c>
      <c r="K72" s="83">
        <f>(J72/I71)</f>
        <v>0.14018256896200498</v>
      </c>
      <c r="L72" s="7">
        <f>K72+1</f>
        <v>1.1401825689620049</v>
      </c>
      <c r="N72">
        <f>A72</f>
        <v>2017</v>
      </c>
      <c r="O72" s="2">
        <f t="shared" si="27"/>
        <v>9326.6987015045415</v>
      </c>
      <c r="P72" s="2"/>
      <c r="R72">
        <f>A72</f>
        <v>2017</v>
      </c>
      <c r="S72" s="2">
        <f>B72-($O72/5)</f>
        <v>203268.52435790945</v>
      </c>
      <c r="T72" s="2"/>
      <c r="U72" s="2">
        <f t="shared" ref="U72:V73" si="145">D72-($O72/5)</f>
        <v>240714.7671807243</v>
      </c>
      <c r="V72" s="2">
        <f t="shared" si="145"/>
        <v>113507.96682934929</v>
      </c>
      <c r="W72" s="2"/>
      <c r="X72" s="2">
        <f t="shared" ref="X72:Y73" si="146">G72-($O72/5)</f>
        <v>-13232.792974224407</v>
      </c>
      <c r="Y72" s="2">
        <f t="shared" si="146"/>
        <v>142125.57481708901</v>
      </c>
      <c r="Z72" s="2">
        <f>SUM(S72:Y72)</f>
        <v>686384.04021084763</v>
      </c>
      <c r="AA72" s="2">
        <f>Z72-Z71</f>
        <v>85332.430852063</v>
      </c>
      <c r="AB72" s="83">
        <f>(AA72/Z71)</f>
        <v>0.14197188647926184</v>
      </c>
      <c r="AC72" s="7">
        <f>AB72+1</f>
        <v>1.1419718864792618</v>
      </c>
      <c r="AD72" s="2">
        <f>Z72-(I72-O72)</f>
        <v>0</v>
      </c>
      <c r="AF72">
        <f>A72</f>
        <v>2017</v>
      </c>
      <c r="AG72" s="6">
        <f>S72/$Z72</f>
        <v>0.29614401333613205</v>
      </c>
      <c r="AH72" s="7"/>
      <c r="AI72" s="6">
        <f t="shared" ref="AI72:AJ73" si="147">U72/$Z72</f>
        <v>0.35069983140455901</v>
      </c>
      <c r="AJ72" s="6">
        <f t="shared" si="147"/>
        <v>0.16537092965401878</v>
      </c>
      <c r="AK72" s="7"/>
      <c r="AL72" s="6">
        <f t="shared" ref="AL72:AM73" si="148">X72/$Z72</f>
        <v>-1.9278992807232925E-2</v>
      </c>
      <c r="AM72" s="6">
        <f t="shared" si="148"/>
        <v>0.20706421841252312</v>
      </c>
      <c r="AN72" s="6">
        <f>SUM(AG72:AM72)</f>
        <v>1</v>
      </c>
      <c r="AO72" s="7">
        <f>SUM(AG72:AL72)</f>
        <v>0.79293578158747691</v>
      </c>
      <c r="AP72" s="7">
        <f>AN72-(AO72+AM72)</f>
        <v>0</v>
      </c>
    </row>
    <row r="73" spans="1:42" x14ac:dyDescent="0.2">
      <c r="A73">
        <f t="shared" si="14"/>
        <v>2018</v>
      </c>
      <c r="B73" s="2">
        <f>S72*(1+(B34/100))</f>
        <v>194121.44076180353</v>
      </c>
      <c r="C73" s="2"/>
      <c r="D73" s="2">
        <f t="shared" si="118"/>
        <v>218328.29383291694</v>
      </c>
      <c r="E73" s="2">
        <f t="shared" si="118"/>
        <v>102838.21794739045</v>
      </c>
      <c r="F73" s="2"/>
      <c r="G73" s="2">
        <f t="shared" si="119"/>
        <v>-11314.037992961868</v>
      </c>
      <c r="H73" s="2">
        <f t="shared" si="119"/>
        <v>141983.44924227192</v>
      </c>
      <c r="I73" s="2">
        <f>SUM(B73:H73)</f>
        <v>645957.36379142094</v>
      </c>
      <c r="J73" s="2">
        <f>I73-I72</f>
        <v>-49753.375120931189</v>
      </c>
      <c r="K73" s="83">
        <f>(J73/I72)</f>
        <v>-7.1514456135482019E-2</v>
      </c>
      <c r="L73" s="7">
        <f>K73+1</f>
        <v>0.92848554386451798</v>
      </c>
      <c r="N73">
        <f>A73</f>
        <v>2018</v>
      </c>
      <c r="O73" s="2">
        <f t="shared" si="27"/>
        <v>9532.7138277670056</v>
      </c>
      <c r="P73" s="2"/>
      <c r="R73">
        <f>A73</f>
        <v>2018</v>
      </c>
      <c r="S73" s="2">
        <f>B73-($O73/5)</f>
        <v>192214.89799625013</v>
      </c>
      <c r="T73" s="2"/>
      <c r="U73" s="2">
        <f t="shared" si="145"/>
        <v>216421.75106736354</v>
      </c>
      <c r="V73" s="2">
        <f t="shared" si="145"/>
        <v>100931.67518183705</v>
      </c>
      <c r="W73" s="2"/>
      <c r="X73" s="2">
        <f t="shared" si="146"/>
        <v>-13220.580758515269</v>
      </c>
      <c r="Y73" s="2">
        <f t="shared" si="146"/>
        <v>140076.90647671852</v>
      </c>
      <c r="Z73" s="2">
        <f>SUM(S73:Y73)</f>
        <v>636424.649963654</v>
      </c>
      <c r="AA73" s="2">
        <f>Z73-Z72</f>
        <v>-49959.390247193631</v>
      </c>
      <c r="AB73" s="83">
        <f>(AA73/Z72)</f>
        <v>-7.2786351838610347E-2</v>
      </c>
      <c r="AC73" s="7">
        <f>AB73+1</f>
        <v>0.92721364816138963</v>
      </c>
      <c r="AD73" s="2">
        <f>Z73-(I73-O73)</f>
        <v>0</v>
      </c>
      <c r="AF73">
        <f>A73</f>
        <v>2018</v>
      </c>
      <c r="AG73" s="6">
        <f>S73/$Z73</f>
        <v>0.302023025046606</v>
      </c>
      <c r="AH73" s="7"/>
      <c r="AI73" s="6">
        <f t="shared" si="147"/>
        <v>0.34005871878112093</v>
      </c>
      <c r="AJ73" s="6">
        <f t="shared" si="147"/>
        <v>0.1585917126050998</v>
      </c>
      <c r="AK73" s="7"/>
      <c r="AL73" s="6">
        <f t="shared" si="148"/>
        <v>-2.077320663062044E-2</v>
      </c>
      <c r="AM73" s="6">
        <f t="shared" si="148"/>
        <v>0.22009975019779368</v>
      </c>
      <c r="AN73" s="6">
        <f>SUM(AG73:AM73)</f>
        <v>0.99999999999999989</v>
      </c>
      <c r="AO73" s="7">
        <f>SUM(AG73:AL73)</f>
        <v>0.77990024980220618</v>
      </c>
      <c r="AP73" s="7">
        <f>AN73-(AO73+AM73)</f>
        <v>0</v>
      </c>
    </row>
    <row r="74" spans="1:42" x14ac:dyDescent="0.2">
      <c r="A74">
        <f t="shared" ref="A74:A75" si="149">A35</f>
        <v>2019</v>
      </c>
      <c r="B74" s="2">
        <f t="shared" ref="B74:B75" si="150">S73*(1+(B35/100))</f>
        <v>252678.01630995056</v>
      </c>
      <c r="C74" s="2"/>
      <c r="D74" s="2">
        <f t="shared" ref="D74:E74" si="151">U73*(1+(D35/100))</f>
        <v>283580.88317158353</v>
      </c>
      <c r="E74" s="2">
        <f t="shared" si="151"/>
        <v>128554.05045555113</v>
      </c>
      <c r="F74" s="2"/>
      <c r="G74" s="2">
        <f t="shared" ref="G74:H74" si="152">X73*(1+(G35/100))</f>
        <v>-16064.063268056732</v>
      </c>
      <c r="H74" s="2">
        <f t="shared" si="152"/>
        <v>152283.20810709978</v>
      </c>
      <c r="I74" s="2">
        <f t="shared" ref="I74:I75" si="153">SUM(B74:H74)</f>
        <v>801032.09477612819</v>
      </c>
      <c r="J74" s="2">
        <f t="shared" ref="J74:J75" si="154">I74-I73</f>
        <v>155074.73098470725</v>
      </c>
      <c r="K74" s="83">
        <f t="shared" ref="K74:K75" si="155">(J74/I73)</f>
        <v>0.24006960780585007</v>
      </c>
      <c r="L74" s="7">
        <f t="shared" ref="L74:L75" si="156">K74+1</f>
        <v>1.2400696078058502</v>
      </c>
      <c r="N74">
        <f t="shared" ref="N74:N75" si="157">A74</f>
        <v>2019</v>
      </c>
      <c r="O74" s="2">
        <f t="shared" ref="O74:O75" si="158">O73*(1+O35)</f>
        <v>9750.6600396149061</v>
      </c>
      <c r="P74" s="2"/>
      <c r="R74">
        <f t="shared" ref="R74:R75" si="159">A74</f>
        <v>2019</v>
      </c>
      <c r="S74" s="2">
        <f t="shared" ref="S74:S75" si="160">B74-($O74/5)</f>
        <v>250727.88430202758</v>
      </c>
      <c r="T74" s="2"/>
      <c r="U74" s="2">
        <f t="shared" ref="U74:U75" si="161">D74-($O74/5)</f>
        <v>281630.75116366055</v>
      </c>
      <c r="V74" s="2">
        <f t="shared" ref="V74:V75" si="162">E74-($O74/5)</f>
        <v>126603.91844762815</v>
      </c>
      <c r="W74" s="2"/>
      <c r="X74" s="2">
        <f t="shared" ref="X74:X75" si="163">G74-($O74/5)</f>
        <v>-18014.195275979713</v>
      </c>
      <c r="Y74" s="2">
        <f t="shared" ref="Y74:Y75" si="164">H74-($O74/5)</f>
        <v>150333.0760991768</v>
      </c>
      <c r="Z74" s="2">
        <f t="shared" ref="Z74:Z75" si="165">SUM(S74:Y74)</f>
        <v>791281.4347365133</v>
      </c>
      <c r="AA74" s="2">
        <f t="shared" ref="AA74:AA75" si="166">Z74-Z73</f>
        <v>154856.7847728593</v>
      </c>
      <c r="AB74" s="83">
        <f t="shared" ref="AB74:AB75" si="167">(AA74/Z73)</f>
        <v>0.24332304661942797</v>
      </c>
      <c r="AC74" s="7">
        <f t="shared" ref="AC74:AC75" si="168">AB74+1</f>
        <v>1.2433230466194281</v>
      </c>
      <c r="AD74" s="2">
        <f t="shared" ref="AD74:AD75" si="169">Z74-(I74-O74)</f>
        <v>0</v>
      </c>
      <c r="AF74">
        <f t="shared" ref="AF74:AF75" si="170">A74</f>
        <v>2019</v>
      </c>
      <c r="AG74" s="6">
        <f t="shared" ref="AG74:AG75" si="171">S74/$Z74</f>
        <v>0.31686309484250291</v>
      </c>
      <c r="AH74" s="7"/>
      <c r="AI74" s="6">
        <f t="shared" ref="AI74:AI75" si="172">U74/$Z74</f>
        <v>0.3559172992064954</v>
      </c>
      <c r="AJ74" s="6">
        <f t="shared" ref="AJ74:AJ75" si="173">V74/$Z74</f>
        <v>0.15999859580906969</v>
      </c>
      <c r="AK74" s="7"/>
      <c r="AL74" s="6">
        <f t="shared" ref="AL74:AL75" si="174">X74/$Z74</f>
        <v>-2.2765851042591708E-2</v>
      </c>
      <c r="AM74" s="6">
        <f t="shared" ref="AM74:AM75" si="175">Y74/$Z74</f>
        <v>0.18998686118452382</v>
      </c>
      <c r="AN74" s="6">
        <f t="shared" ref="AN74:AN75" si="176">SUM(AG74:AM74)</f>
        <v>1.0000000000000002</v>
      </c>
      <c r="AO74" s="7">
        <f t="shared" ref="AO74:AO75" si="177">SUM(AG74:AL74)</f>
        <v>0.81001313881547632</v>
      </c>
      <c r="AP74" s="7">
        <f t="shared" ref="AP74:AP75" si="178">AN74-(AO74+AM74)</f>
        <v>0</v>
      </c>
    </row>
    <row r="75" spans="1:42" x14ac:dyDescent="0.2">
      <c r="A75">
        <f t="shared" si="149"/>
        <v>2020</v>
      </c>
      <c r="B75" s="2">
        <f t="shared" si="150"/>
        <v>296786.59664831002</v>
      </c>
      <c r="C75" s="2"/>
      <c r="D75" s="2">
        <f t="shared" ref="D75:E75" si="179">U74*(1+(D36/100))</f>
        <v>333000.20017591218</v>
      </c>
      <c r="E75" s="2">
        <f t="shared" si="179"/>
        <v>150797.9272629699</v>
      </c>
      <c r="F75" s="2"/>
      <c r="G75" s="2">
        <f t="shared" ref="G75:H75" si="180">X74*(1+(G36/100))</f>
        <v>-20046.196503110226</v>
      </c>
      <c r="H75" s="2">
        <f t="shared" si="180"/>
        <v>161938.78957403323</v>
      </c>
      <c r="I75" s="2">
        <f t="shared" si="153"/>
        <v>922477.3171581151</v>
      </c>
      <c r="J75" s="2">
        <f t="shared" si="154"/>
        <v>121445.22238198691</v>
      </c>
      <c r="K75" s="83">
        <f t="shared" si="155"/>
        <v>0.15161093191394326</v>
      </c>
      <c r="L75" s="7">
        <f t="shared" si="156"/>
        <v>1.1516109319139431</v>
      </c>
      <c r="N75">
        <f t="shared" si="157"/>
        <v>2020</v>
      </c>
      <c r="O75" s="2">
        <f t="shared" si="158"/>
        <v>9861.7013599672828</v>
      </c>
      <c r="P75" s="2"/>
      <c r="R75">
        <f t="shared" si="159"/>
        <v>2020</v>
      </c>
      <c r="S75" s="2">
        <f t="shared" si="160"/>
        <v>294814.25637631654</v>
      </c>
      <c r="T75" s="2"/>
      <c r="U75" s="2">
        <f t="shared" si="161"/>
        <v>331027.8599039187</v>
      </c>
      <c r="V75" s="2">
        <f t="shared" si="162"/>
        <v>148825.58699097644</v>
      </c>
      <c r="W75" s="2"/>
      <c r="X75" s="2">
        <f t="shared" si="163"/>
        <v>-22018.536775103683</v>
      </c>
      <c r="Y75" s="2">
        <f t="shared" si="164"/>
        <v>159966.44930203978</v>
      </c>
      <c r="Z75" s="2">
        <f t="shared" si="165"/>
        <v>912615.61579814786</v>
      </c>
      <c r="AA75" s="2">
        <f t="shared" si="166"/>
        <v>121334.18106163456</v>
      </c>
      <c r="AB75" s="83">
        <f t="shared" si="167"/>
        <v>0.15333884473359002</v>
      </c>
      <c r="AC75" s="7">
        <f t="shared" si="168"/>
        <v>1.1533388447335899</v>
      </c>
      <c r="AD75" s="2">
        <f t="shared" si="169"/>
        <v>0</v>
      </c>
      <c r="AF75">
        <f t="shared" si="170"/>
        <v>2020</v>
      </c>
      <c r="AG75" s="6">
        <f t="shared" si="171"/>
        <v>0.3230431862799984</v>
      </c>
      <c r="AH75" s="7"/>
      <c r="AI75" s="6">
        <f t="shared" si="172"/>
        <v>0.36272429944606094</v>
      </c>
      <c r="AJ75" s="6">
        <f t="shared" si="173"/>
        <v>0.16307587160977713</v>
      </c>
      <c r="AK75" s="7"/>
      <c r="AL75" s="6">
        <f t="shared" si="174"/>
        <v>-2.4126846389590749E-2</v>
      </c>
      <c r="AM75" s="6">
        <f t="shared" si="175"/>
        <v>0.17528348905375418</v>
      </c>
      <c r="AN75" s="6">
        <f t="shared" si="176"/>
        <v>1</v>
      </c>
      <c r="AO75" s="7">
        <f t="shared" si="177"/>
        <v>0.82471651094624576</v>
      </c>
      <c r="AP75" s="7">
        <f t="shared" si="178"/>
        <v>0</v>
      </c>
    </row>
    <row r="76" spans="1:42" x14ac:dyDescent="0.2">
      <c r="A76" s="9" t="s">
        <v>94</v>
      </c>
      <c r="B76" s="10">
        <f>S76</f>
        <v>294814.25637631654</v>
      </c>
      <c r="C76" s="10"/>
      <c r="D76" s="10">
        <f>U76</f>
        <v>331027.8599039187</v>
      </c>
      <c r="E76" s="10">
        <f>V76</f>
        <v>148825.58699097644</v>
      </c>
      <c r="F76" s="10"/>
      <c r="G76" s="10">
        <f>X76</f>
        <v>-22018.536775103683</v>
      </c>
      <c r="H76" s="10">
        <f>Y76</f>
        <v>159966.44930203978</v>
      </c>
      <c r="I76" s="10">
        <f>SUM(B76:H76)</f>
        <v>912615.61579814786</v>
      </c>
      <c r="J76" s="10"/>
      <c r="K76" s="10"/>
      <c r="N76" t="s">
        <v>156</v>
      </c>
      <c r="O76" s="2">
        <f>O75</f>
        <v>9861.7013599672828</v>
      </c>
      <c r="P76" s="2"/>
      <c r="R76" s="9" t="s">
        <v>94</v>
      </c>
      <c r="S76" s="10">
        <f>S75</f>
        <v>294814.25637631654</v>
      </c>
      <c r="T76" s="10"/>
      <c r="U76" s="10">
        <f>U75</f>
        <v>331027.8599039187</v>
      </c>
      <c r="V76" s="10">
        <f>V75</f>
        <v>148825.58699097644</v>
      </c>
      <c r="W76" s="10"/>
      <c r="X76" s="10">
        <f>X75</f>
        <v>-22018.536775103683</v>
      </c>
      <c r="Y76" s="10">
        <f>Y75</f>
        <v>159966.44930203978</v>
      </c>
      <c r="Z76" s="10">
        <f>Z75</f>
        <v>912615.61579814786</v>
      </c>
      <c r="AA76" s="43"/>
      <c r="AB76" s="43"/>
      <c r="AC76" s="43"/>
      <c r="AD76" s="43"/>
      <c r="AF76" s="74" t="s">
        <v>132</v>
      </c>
      <c r="AG76" s="88">
        <f>AG75</f>
        <v>0.3230431862799984</v>
      </c>
      <c r="AH76" s="74"/>
      <c r="AI76" s="88">
        <f>AI75</f>
        <v>0.36272429944606094</v>
      </c>
      <c r="AJ76" s="74"/>
      <c r="AK76" s="74"/>
      <c r="AL76" s="88">
        <f>AL75</f>
        <v>-2.4126846389590749E-2</v>
      </c>
      <c r="AM76" s="88">
        <f>AM75</f>
        <v>0.17528348905375418</v>
      </c>
      <c r="AN76" s="88">
        <f>AN75</f>
        <v>1</v>
      </c>
      <c r="AO76" s="88">
        <f>AO75</f>
        <v>0.82471651094624576</v>
      </c>
      <c r="AP76" s="88">
        <f>AP75</f>
        <v>0</v>
      </c>
    </row>
    <row r="77" spans="1:42" x14ac:dyDescent="0.2">
      <c r="A77" s="11" t="s">
        <v>157</v>
      </c>
      <c r="I77" s="6">
        <f>(Z76-Z42)/Z42</f>
        <v>8.1261561579814785</v>
      </c>
      <c r="K77" s="6"/>
      <c r="N77" t="s">
        <v>67</v>
      </c>
      <c r="O77" s="2">
        <f>SUM(O43:O75)</f>
        <v>240299.09094661573</v>
      </c>
      <c r="P77" s="2"/>
      <c r="AI77" s="7"/>
    </row>
    <row r="78" spans="1:42" x14ac:dyDescent="0.2">
      <c r="A78" s="1" t="s">
        <v>158</v>
      </c>
      <c r="I78" s="12">
        <f>STDEV(AC43:AC75)</f>
        <v>0.11558091549800531</v>
      </c>
      <c r="AJ78" s="89"/>
      <c r="AK78" s="89"/>
      <c r="AL78" s="90" t="s">
        <v>134</v>
      </c>
      <c r="AM78" s="89" t="b">
        <f>IF((AM75=AM76),TRUE,FALSE)</f>
        <v>1</v>
      </c>
      <c r="AN78" s="89"/>
      <c r="AO78" s="91" t="b">
        <f>IF(((SUM(AG75:AL75))=AO76),TRUE,FALSE)</f>
        <v>1</v>
      </c>
    </row>
    <row r="79" spans="1:42" x14ac:dyDescent="0.2">
      <c r="A79" s="1" t="s">
        <v>159</v>
      </c>
      <c r="I79" s="13">
        <f>((1+I77)^(1/I86))-1</f>
        <v>6.9300163438674955E-2</v>
      </c>
    </row>
    <row r="80" spans="1:42" x14ac:dyDescent="0.2">
      <c r="A80" s="1" t="s">
        <v>98</v>
      </c>
      <c r="I80" s="31">
        <f>J63</f>
        <v>-116395.14994447993</v>
      </c>
      <c r="O80" s="2"/>
      <c r="P80" s="2"/>
    </row>
    <row r="81" spans="1:9" x14ac:dyDescent="0.2">
      <c r="A81" s="1" t="s">
        <v>136</v>
      </c>
      <c r="I81" s="32">
        <f>K63</f>
        <v>-0.28282639490215133</v>
      </c>
    </row>
    <row r="82" spans="1:9" x14ac:dyDescent="0.2">
      <c r="A82" s="1" t="s">
        <v>103</v>
      </c>
      <c r="I82" s="2">
        <f>O77</f>
        <v>240299.09094661573</v>
      </c>
    </row>
    <row r="83" spans="1:9" x14ac:dyDescent="0.2">
      <c r="A83" s="3" t="s">
        <v>137</v>
      </c>
      <c r="I83" s="33">
        <f>I76-Z76</f>
        <v>0</v>
      </c>
    </row>
    <row r="84" spans="1:9" x14ac:dyDescent="0.2">
      <c r="A84" s="3" t="s">
        <v>138</v>
      </c>
      <c r="I84" s="33">
        <f>((SUM(AA43:AA75)))-(I76-I42)</f>
        <v>0</v>
      </c>
    </row>
    <row r="85" spans="1:9" x14ac:dyDescent="0.2">
      <c r="A85" s="3" t="s">
        <v>160</v>
      </c>
      <c r="I85" s="33">
        <f>(SUM(O43:O75))-I82</f>
        <v>0</v>
      </c>
    </row>
    <row r="86" spans="1:9" x14ac:dyDescent="0.2">
      <c r="A86" s="3" t="s">
        <v>139</v>
      </c>
      <c r="I86" s="3">
        <f>COUNTA(I43:I75)</f>
        <v>33</v>
      </c>
    </row>
    <row r="87" spans="1:9" x14ac:dyDescent="0.2">
      <c r="B87" s="2"/>
      <c r="D87" s="2"/>
      <c r="E87" s="2"/>
      <c r="G87" s="2"/>
      <c r="H87" s="2"/>
      <c r="I87" s="2"/>
    </row>
    <row r="89" spans="1:9" x14ac:dyDescent="0.2">
      <c r="B89" s="63"/>
      <c r="C89" s="63"/>
      <c r="D89" s="63"/>
      <c r="E89" s="63"/>
      <c r="G89" s="63"/>
      <c r="H89" s="63"/>
      <c r="I89" s="63"/>
    </row>
    <row r="90" spans="1:9" x14ac:dyDescent="0.2">
      <c r="B90" s="2"/>
      <c r="D90" s="2"/>
      <c r="E90" s="2"/>
      <c r="G90" s="2"/>
      <c r="H90" s="2"/>
      <c r="I90"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88"/>
  <sheetViews>
    <sheetView topLeftCell="A30" zoomScaleNormal="100" workbookViewId="0">
      <selection activeCell="BO45" sqref="BO45"/>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72"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4" spans="1:72" x14ac:dyDescent="0.2">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 Withdrawals-No Rebalancing'!N34</f>
        <v>2018</v>
      </c>
      <c r="O34" s="50">
        <f>'4% Withdrawals-No Rebalancing'!O34</f>
        <v>2.2088751106458498E-2</v>
      </c>
    </row>
    <row r="35" spans="1:72" x14ac:dyDescent="0.2">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 Withdrawals-No Rebalancing'!N35</f>
        <v>2019</v>
      </c>
      <c r="O35" s="50">
        <f>'4% Withdrawals-No Rebalancing'!O35</f>
        <v>2.2862976460393248E-2</v>
      </c>
    </row>
    <row r="36" spans="1:72" x14ac:dyDescent="0.2">
      <c r="A36" s="17">
        <f>'Non-Rebalanced Portfolio'!A36</f>
        <v>2020</v>
      </c>
      <c r="B36" s="17">
        <f>'Non-Rebalanced Portfolio'!B36</f>
        <v>18.37</v>
      </c>
      <c r="C36" s="17"/>
      <c r="D36" s="17">
        <f>'Non-Rebalanced Portfolio'!D36</f>
        <v>18.239999999999998</v>
      </c>
      <c r="E36" s="17">
        <f>'Non-Rebalanced Portfolio'!E36</f>
        <v>19.11</v>
      </c>
      <c r="F36" s="17"/>
      <c r="G36" s="17">
        <f>'Non-Rebalanced Portfolio'!G36</f>
        <v>11.28</v>
      </c>
      <c r="H36" s="17">
        <f>'Non-Rebalanced Portfolio'!H36</f>
        <v>7.72</v>
      </c>
      <c r="N36" s="49">
        <f>'4% Withdrawals-No Rebalancing'!N36</f>
        <v>2020</v>
      </c>
      <c r="O36" s="50">
        <f>'4% Withdrawals-No Rebalancing'!O36</f>
        <v>1.1388082437623485E-2</v>
      </c>
    </row>
    <row r="39" spans="1:72" x14ac:dyDescent="0.2">
      <c r="A39" s="20" t="s">
        <v>140</v>
      </c>
      <c r="N39" s="20" t="s">
        <v>153</v>
      </c>
      <c r="R39" s="20" t="s">
        <v>161</v>
      </c>
      <c r="AG39" s="20" t="s">
        <v>162</v>
      </c>
      <c r="AS39" s="20" t="s">
        <v>163</v>
      </c>
      <c r="BC39" s="20" t="s">
        <v>164</v>
      </c>
    </row>
    <row r="40" spans="1:72"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Y40"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E40" s="5"/>
      <c r="AH40" s="4" t="str">
        <f t="shared" ref="AH40:AN41" si="2">B40</f>
        <v>LC Stocks</v>
      </c>
      <c r="AI40" s="4" t="str">
        <f t="shared" si="2"/>
        <v>Ext Mkt</v>
      </c>
      <c r="AJ40" s="4" t="str">
        <f t="shared" si="2"/>
        <v>Mcap Stk</v>
      </c>
      <c r="AK40" s="4" t="str">
        <f t="shared" si="2"/>
        <v>Small Cap</v>
      </c>
      <c r="AL40" s="4" t="str">
        <f t="shared" si="2"/>
        <v>Intl Val</v>
      </c>
      <c r="AM40" s="4" t="str">
        <f t="shared" si="2"/>
        <v>Tot Int Stk</v>
      </c>
      <c r="AN40" s="4" t="str">
        <f t="shared" si="2"/>
        <v>Bonds</v>
      </c>
      <c r="AO40" s="5"/>
      <c r="AP40" s="5" t="s">
        <v>124</v>
      </c>
      <c r="AQ40" s="5" t="s">
        <v>125</v>
      </c>
      <c r="AT40" s="4" t="str">
        <f t="shared" ref="AT40:AZ42" si="3">AH40</f>
        <v>LC Stocks</v>
      </c>
      <c r="AU40" s="4" t="str">
        <f t="shared" si="3"/>
        <v>Ext Mkt</v>
      </c>
      <c r="AV40" s="4" t="str">
        <f t="shared" si="3"/>
        <v>Mcap Stk</v>
      </c>
      <c r="AW40" s="4" t="str">
        <f t="shared" si="3"/>
        <v>Small Cap</v>
      </c>
      <c r="AX40" s="4" t="str">
        <f t="shared" si="3"/>
        <v>Intl Val</v>
      </c>
      <c r="AY40" s="4" t="str">
        <f t="shared" si="3"/>
        <v>Tot Int Stk</v>
      </c>
      <c r="AZ40" s="4" t="str">
        <f t="shared" si="3"/>
        <v>Bonds</v>
      </c>
      <c r="BA40" s="5"/>
      <c r="BD40" s="4" t="str">
        <f>AT40</f>
        <v>LC Stocks</v>
      </c>
      <c r="BE40" s="4" t="str">
        <f t="shared" ref="BE40:BK42" si="4">AU40</f>
        <v>Ext Mkt</v>
      </c>
      <c r="BF40" s="4" t="str">
        <f t="shared" si="4"/>
        <v>Mcap Stk</v>
      </c>
      <c r="BG40" s="4" t="str">
        <f t="shared" si="4"/>
        <v>Small Cap</v>
      </c>
      <c r="BH40" s="4" t="str">
        <f t="shared" si="4"/>
        <v>Intl Val</v>
      </c>
      <c r="BI40" s="4" t="str">
        <f t="shared" si="4"/>
        <v>Tot Int Stk</v>
      </c>
      <c r="BJ40" s="4" t="str">
        <f t="shared" si="4"/>
        <v>Bonds</v>
      </c>
      <c r="BK40" s="4"/>
      <c r="BL40" t="s">
        <v>144</v>
      </c>
    </row>
    <row r="41" spans="1:72"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ref="S41:Z42" si="5">B41</f>
        <v>VFIAX</v>
      </c>
      <c r="T41" s="4" t="str">
        <f t="shared" si="5"/>
        <v>VEXMX</v>
      </c>
      <c r="U41" s="4" t="str">
        <f t="shared" si="5"/>
        <v>VIMAX</v>
      </c>
      <c r="V41" s="4" t="str">
        <f t="shared" si="5"/>
        <v>VSMAX</v>
      </c>
      <c r="W41" s="4" t="str">
        <f t="shared" si="5"/>
        <v>VTRIX</v>
      </c>
      <c r="X41" s="4" t="str">
        <f t="shared" si="5"/>
        <v>VTIAX</v>
      </c>
      <c r="Y41" s="4" t="str">
        <f t="shared" si="5"/>
        <v>VBTLX</v>
      </c>
      <c r="Z41" s="5" t="str">
        <f t="shared" si="5"/>
        <v>Total</v>
      </c>
      <c r="AA41" s="5" t="s">
        <v>127</v>
      </c>
      <c r="AB41" s="5" t="s">
        <v>128</v>
      </c>
      <c r="AC41" s="5" t="s">
        <v>128</v>
      </c>
      <c r="AD41" s="5" t="s">
        <v>129</v>
      </c>
      <c r="AE41" s="5"/>
      <c r="AG41" t="s">
        <v>126</v>
      </c>
      <c r="AH41" s="4" t="str">
        <f t="shared" si="2"/>
        <v>VFIAX</v>
      </c>
      <c r="AI41" s="4" t="str">
        <f t="shared" si="2"/>
        <v>VEXMX</v>
      </c>
      <c r="AJ41" s="4" t="str">
        <f t="shared" si="2"/>
        <v>VIMAX</v>
      </c>
      <c r="AK41" s="4" t="str">
        <f t="shared" si="2"/>
        <v>VSMAX</v>
      </c>
      <c r="AL41" s="4" t="str">
        <f t="shared" si="2"/>
        <v>VTRIX</v>
      </c>
      <c r="AM41" s="4" t="str">
        <f t="shared" si="2"/>
        <v>VTIAX</v>
      </c>
      <c r="AN41" s="4" t="str">
        <f t="shared" si="2"/>
        <v>VBTLX</v>
      </c>
      <c r="AO41" s="5" t="s">
        <v>67</v>
      </c>
      <c r="AP41" s="5" t="s">
        <v>125</v>
      </c>
      <c r="AQ41" s="5" t="s">
        <v>129</v>
      </c>
      <c r="AS41" t="str">
        <f>AG41</f>
        <v>Fund</v>
      </c>
      <c r="AT41" s="4" t="str">
        <f t="shared" si="3"/>
        <v>VFIAX</v>
      </c>
      <c r="AU41" s="4" t="str">
        <f t="shared" si="3"/>
        <v>VEXMX</v>
      </c>
      <c r="AV41" s="4" t="str">
        <f t="shared" si="3"/>
        <v>VIMAX</v>
      </c>
      <c r="AW41" s="4" t="str">
        <f t="shared" si="3"/>
        <v>VSMAX</v>
      </c>
      <c r="AX41" s="4" t="str">
        <f t="shared" si="3"/>
        <v>VTRIX</v>
      </c>
      <c r="AY41" s="4" t="str">
        <f t="shared" si="3"/>
        <v>VTIAX</v>
      </c>
      <c r="AZ41" s="4" t="str">
        <f t="shared" si="3"/>
        <v>VBTLX</v>
      </c>
      <c r="BA41" s="4" t="str">
        <f>AO41</f>
        <v>Total</v>
      </c>
      <c r="BC41" t="s">
        <v>126</v>
      </c>
      <c r="BD41" s="4" t="str">
        <f>AT41</f>
        <v>VFIAX</v>
      </c>
      <c r="BE41" s="4" t="str">
        <f t="shared" si="4"/>
        <v>VEXMX</v>
      </c>
      <c r="BF41" s="4" t="str">
        <f t="shared" si="4"/>
        <v>VIMAX</v>
      </c>
      <c r="BG41" s="4" t="str">
        <f t="shared" si="4"/>
        <v>VSMAX</v>
      </c>
      <c r="BH41" s="4" t="str">
        <f t="shared" si="4"/>
        <v>VTRIX</v>
      </c>
      <c r="BI41" s="4" t="str">
        <f t="shared" si="4"/>
        <v>VTIAX</v>
      </c>
      <c r="BJ41" s="4" t="str">
        <f t="shared" si="4"/>
        <v>VBTLX</v>
      </c>
      <c r="BK41" s="4" t="str">
        <f t="shared" si="4"/>
        <v>Total</v>
      </c>
      <c r="BL41" t="s">
        <v>129</v>
      </c>
    </row>
    <row r="42" spans="1:72"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5"/>
        <v>25000</v>
      </c>
      <c r="U42" s="2">
        <f t="shared" si="5"/>
        <v>0</v>
      </c>
      <c r="V42" s="2">
        <f t="shared" si="5"/>
        <v>0</v>
      </c>
      <c r="W42" s="2">
        <f t="shared" si="5"/>
        <v>15000</v>
      </c>
      <c r="X42" s="2">
        <f t="shared" si="5"/>
        <v>0</v>
      </c>
      <c r="Y42" s="2">
        <f t="shared" si="5"/>
        <v>40000</v>
      </c>
      <c r="Z42" s="2">
        <f t="shared" si="5"/>
        <v>100000</v>
      </c>
      <c r="AD42" s="2"/>
      <c r="AE42" s="2"/>
      <c r="AG42" s="21" t="s">
        <v>131</v>
      </c>
      <c r="AH42" s="6">
        <f t="shared" ref="AH42:AH53" si="6">S42/$Z42</f>
        <v>0.2</v>
      </c>
      <c r="AI42" s="6">
        <f t="shared" ref="AI42:AI53" si="7">T42/$Z42</f>
        <v>0.25</v>
      </c>
      <c r="AJ42" s="23">
        <v>0.15</v>
      </c>
      <c r="AK42" s="23">
        <v>0.1</v>
      </c>
      <c r="AL42" s="6">
        <f>W42/$Z42</f>
        <v>0.15</v>
      </c>
      <c r="AM42" s="23">
        <v>0.15</v>
      </c>
      <c r="AN42" s="6">
        <f>Y42/$Z42</f>
        <v>0.4</v>
      </c>
      <c r="AO42" s="6">
        <f>Z42/$Z42</f>
        <v>1</v>
      </c>
      <c r="AP42" s="24"/>
      <c r="AR42" s="24"/>
      <c r="AS42" s="21" t="str">
        <f>AG42</f>
        <v>Target Allocation</v>
      </c>
      <c r="AT42" s="24">
        <f t="shared" si="3"/>
        <v>0.2</v>
      </c>
      <c r="AU42" s="24">
        <f t="shared" si="3"/>
        <v>0.25</v>
      </c>
      <c r="AV42" s="25">
        <f t="shared" si="3"/>
        <v>0.15</v>
      </c>
      <c r="AW42" s="25">
        <f t="shared" si="3"/>
        <v>0.1</v>
      </c>
      <c r="AX42" s="24">
        <f t="shared" si="3"/>
        <v>0.15</v>
      </c>
      <c r="AY42" s="25">
        <f t="shared" si="3"/>
        <v>0.15</v>
      </c>
      <c r="AZ42" s="24">
        <f t="shared" si="3"/>
        <v>0.4</v>
      </c>
      <c r="BA42" s="24">
        <f>AO42</f>
        <v>1</v>
      </c>
      <c r="BC42" s="21" t="str">
        <f>AS42</f>
        <v>Target Allocation</v>
      </c>
      <c r="BD42" s="24">
        <f>AT42</f>
        <v>0.2</v>
      </c>
      <c r="BE42" s="24">
        <f t="shared" si="4"/>
        <v>0.25</v>
      </c>
      <c r="BF42" s="25">
        <f t="shared" si="4"/>
        <v>0.15</v>
      </c>
      <c r="BG42" s="25">
        <f t="shared" si="4"/>
        <v>0.1</v>
      </c>
      <c r="BH42" s="24">
        <f t="shared" si="4"/>
        <v>0.15</v>
      </c>
      <c r="BI42" s="25">
        <f t="shared" si="4"/>
        <v>0.15</v>
      </c>
      <c r="BJ42" s="24">
        <f t="shared" si="4"/>
        <v>0.4</v>
      </c>
      <c r="BK42" s="24">
        <f t="shared" si="4"/>
        <v>1</v>
      </c>
      <c r="BL42" s="2"/>
    </row>
    <row r="43" spans="1:72" x14ac:dyDescent="0.2">
      <c r="A43">
        <f t="shared" ref="A43:A73" si="8">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83">
        <f>(J43/I42)</f>
        <v>0.13937449999999982</v>
      </c>
      <c r="L43" s="7">
        <f>K43+1</f>
        <v>1.1393744999999997</v>
      </c>
      <c r="N43">
        <f>A43</f>
        <v>1988</v>
      </c>
      <c r="O43" s="2">
        <f>I43*0.04</f>
        <v>4557.4979999999996</v>
      </c>
      <c r="P43" s="2"/>
      <c r="Q43" s="2"/>
      <c r="R43">
        <f>A43</f>
        <v>1988</v>
      </c>
      <c r="S43" s="2">
        <f>B43-($O43/4)</f>
        <v>22104.625499999995</v>
      </c>
      <c r="T43" s="2">
        <f>C43-($O43/4)</f>
        <v>28797.375500000002</v>
      </c>
      <c r="U43" s="2"/>
      <c r="V43" s="2"/>
      <c r="W43" s="2">
        <f t="shared" ref="W43:W51" si="9">F43-($O43/4)</f>
        <v>16677.325499999999</v>
      </c>
      <c r="X43" s="2"/>
      <c r="Y43" s="2">
        <f>H43-($O43/4)</f>
        <v>41800.625499999995</v>
      </c>
      <c r="Z43" s="2">
        <f>SUM(S43:Y43)</f>
        <v>109379.95199999999</v>
      </c>
      <c r="AA43" s="2">
        <f>Z43-Z42</f>
        <v>9379.9519999999902</v>
      </c>
      <c r="AB43" s="83">
        <f>(AA43/Z42)</f>
        <v>9.37995199999999E-2</v>
      </c>
      <c r="AC43" s="7">
        <f>AB43+1</f>
        <v>1.0937995199999999</v>
      </c>
      <c r="AD43" s="2">
        <f>Z43-(I43-O43)</f>
        <v>0</v>
      </c>
      <c r="AE43" s="2"/>
      <c r="AG43">
        <f>A43</f>
        <v>1988</v>
      </c>
      <c r="AH43" s="6">
        <f t="shared" si="6"/>
        <v>0.20209028341866522</v>
      </c>
      <c r="AI43" s="6">
        <f t="shared" si="7"/>
        <v>0.26327837024466794</v>
      </c>
      <c r="AJ43" s="7"/>
      <c r="AK43" s="7"/>
      <c r="AL43" s="6">
        <f>W43/$Z43</f>
        <v>0.15247150135885962</v>
      </c>
      <c r="AM43" s="7"/>
      <c r="AN43" s="6">
        <f>Y43/$Z43</f>
        <v>0.38215984497780725</v>
      </c>
      <c r="AO43" s="6">
        <f>SUM(AH43:AN43)</f>
        <v>1</v>
      </c>
      <c r="AP43" s="7">
        <f>SUM(AH43:AM43)</f>
        <v>0.61784015502219281</v>
      </c>
      <c r="AQ43" s="7">
        <f>AO43-(AP43+AN43)</f>
        <v>0</v>
      </c>
      <c r="AR43" s="24"/>
      <c r="AS43">
        <f>AG43</f>
        <v>1988</v>
      </c>
      <c r="AT43" s="1" t="b">
        <f>AND((S43/$Z43)&gt;0.15,(S43/$Z43)&lt;0.25)</f>
        <v>1</v>
      </c>
      <c r="AU43" s="1" t="b">
        <f>AND((T43/$Z43)&gt;0.2,(T43/$Z43)&lt;0.3)</f>
        <v>1</v>
      </c>
      <c r="AX43" s="1" t="b">
        <f>AND((W43/$Z43)&gt;0.1,(W43/$Z43)&lt;0.2)</f>
        <v>1</v>
      </c>
      <c r="AZ43" s="1" t="b">
        <f>AND((Y43/$Z43)&gt;0.35,(Y43/$Z43)&lt;0.45)</f>
        <v>1</v>
      </c>
      <c r="BA43" s="1" t="b">
        <f>AND((Z43/$Z43)&gt;0.999,(Z43/$Z43)&lt;1.01)</f>
        <v>1</v>
      </c>
      <c r="BC43">
        <f>AS43</f>
        <v>1988</v>
      </c>
      <c r="BD43" s="2">
        <f>S43</f>
        <v>22104.625499999995</v>
      </c>
      <c r="BE43" s="2">
        <f>T43</f>
        <v>28797.375500000002</v>
      </c>
      <c r="BF43" s="2"/>
      <c r="BG43" s="2"/>
      <c r="BH43" s="2">
        <f t="shared" ref="BH43:BH50" si="10">W43</f>
        <v>16677.325499999999</v>
      </c>
      <c r="BI43" s="2"/>
      <c r="BJ43" s="2">
        <f>Y43</f>
        <v>41800.625499999995</v>
      </c>
      <c r="BK43" s="2">
        <f>Z43</f>
        <v>109379.95199999999</v>
      </c>
      <c r="BL43" s="2">
        <f>SUM(BD43:BJ43)-Z43</f>
        <v>0</v>
      </c>
      <c r="BM43" s="2"/>
    </row>
    <row r="44" spans="1:72" x14ac:dyDescent="0.2">
      <c r="A44">
        <f t="shared" si="8"/>
        <v>1989</v>
      </c>
      <c r="B44" s="2">
        <f t="shared" ref="B44:B53" si="11">BD43*(1+(B5/100))</f>
        <v>29036.636056799995</v>
      </c>
      <c r="C44" s="2">
        <f t="shared" ref="C44:C53" si="12">BE43*(1+(C5/100))</f>
        <v>35736.391100480003</v>
      </c>
      <c r="D44" s="2"/>
      <c r="E44" s="2"/>
      <c r="F44" s="2">
        <f t="shared" ref="F44:F51" si="13">BH43*(1+(F5/100))</f>
        <v>21008.593705604999</v>
      </c>
      <c r="G44" s="2"/>
      <c r="H44" s="2">
        <f t="shared" ref="H44:H69" si="14">BJ43*(1+(H5/100))</f>
        <v>47502.230818199998</v>
      </c>
      <c r="I44" s="2">
        <f>SUM(B44:H44)</f>
        <v>133283.85168108501</v>
      </c>
      <c r="J44" s="2">
        <f t="shared" ref="J44:J67" si="15">I44-I43</f>
        <v>19346.40168108503</v>
      </c>
      <c r="K44" s="83">
        <f t="shared" ref="K44:K67" si="16">(J44/I43)</f>
        <v>0.16979844362924598</v>
      </c>
      <c r="L44" s="7">
        <f t="shared" ref="L44:L67" si="17">K44+1</f>
        <v>1.1697984436292459</v>
      </c>
      <c r="N44">
        <f t="shared" ref="N44:N67" si="18">A44</f>
        <v>1989</v>
      </c>
      <c r="O44" s="2">
        <f t="shared" ref="O44:O73" si="19">O43*(1+O5)</f>
        <v>4767.1429079999998</v>
      </c>
      <c r="P44" s="2"/>
      <c r="Q44" s="2"/>
      <c r="R44">
        <f t="shared" ref="R44:R67" si="20">A44</f>
        <v>1989</v>
      </c>
      <c r="S44" s="2">
        <f t="shared" ref="S44:T52" si="21">B44-($O44/4)</f>
        <v>27844.850329799996</v>
      </c>
      <c r="T44" s="2">
        <f t="shared" si="21"/>
        <v>34544.605373480001</v>
      </c>
      <c r="U44" s="2"/>
      <c r="V44" s="2"/>
      <c r="W44" s="2">
        <f t="shared" si="9"/>
        <v>19816.807978605</v>
      </c>
      <c r="X44" s="2"/>
      <c r="Y44" s="2">
        <f t="shared" ref="Y44:Y52" si="22">H44-($O44/4)</f>
        <v>46310.445091199996</v>
      </c>
      <c r="Z44" s="2">
        <f t="shared" ref="Z44:Z67" si="23">SUM(S44:Y44)</f>
        <v>128516.708773085</v>
      </c>
      <c r="AA44" s="2">
        <f t="shared" ref="AA44:AA58" si="24">Z44-Z43</f>
        <v>19136.756773085013</v>
      </c>
      <c r="AB44" s="83">
        <f t="shared" ref="AB44:AB58" si="25">(AA44/Z43)</f>
        <v>0.17495671211379774</v>
      </c>
      <c r="AC44" s="7">
        <f t="shared" ref="AC44:AC67" si="26">AB44+1</f>
        <v>1.1749567121137978</v>
      </c>
      <c r="AD44" s="2">
        <f t="shared" ref="AD44:AD67" si="27">Z44-(I44-O44)</f>
        <v>0</v>
      </c>
      <c r="AE44" s="2"/>
      <c r="AG44">
        <f t="shared" ref="AG44:AG67" si="28">A44</f>
        <v>1989</v>
      </c>
      <c r="AH44" s="6">
        <f t="shared" si="6"/>
        <v>0.2166632696684144</v>
      </c>
      <c r="AI44" s="6">
        <f t="shared" si="7"/>
        <v>0.26879466260277129</v>
      </c>
      <c r="AJ44" s="7"/>
      <c r="AK44" s="7"/>
      <c r="AL44" s="6">
        <f t="shared" ref="AL44:AM59" si="29">W44/$Z44</f>
        <v>0.1541963544490893</v>
      </c>
      <c r="AM44" s="7"/>
      <c r="AN44" s="6">
        <f t="shared" ref="AN44:AN67" si="30">Y44/$Z44</f>
        <v>0.36034571327972492</v>
      </c>
      <c r="AO44" s="6">
        <f t="shared" ref="AO44:AO67" si="31">SUM(AH44:AN44)</f>
        <v>1</v>
      </c>
      <c r="AP44" s="7">
        <f t="shared" ref="AP44:AP67" si="32">SUM(AH44:AM44)</f>
        <v>0.63965428672027502</v>
      </c>
      <c r="AQ44" s="7">
        <f t="shared" ref="AQ44:AQ67" si="33">AO44-(AP44+AN44)</f>
        <v>0</v>
      </c>
      <c r="AR44" s="24"/>
      <c r="AS44">
        <f t="shared" ref="AS44:AS67" si="34">AG44</f>
        <v>1989</v>
      </c>
      <c r="AT44" s="1" t="b">
        <f t="shared" ref="AT44:AT69" si="35">AND((S44/$Z44)&gt;0.15,(S44/$Z44)&lt;0.25)</f>
        <v>1</v>
      </c>
      <c r="AU44" s="1" t="b">
        <f t="shared" ref="AU44:AU53" si="36">AND((T44/$Z44)&gt;0.2,(T44/$Z44)&lt;0.3)</f>
        <v>1</v>
      </c>
      <c r="AX44" s="1" t="b">
        <f t="shared" ref="AX44:AX51" si="37">AND((W44/$Z44)&gt;0.1,(W44/$Z44)&lt;0.2)</f>
        <v>1</v>
      </c>
      <c r="AZ44" s="1" t="b">
        <f t="shared" ref="AZ44:AZ75" si="38">AND((Y44/$Z44)&gt;0.35,(Y44/$Z44)&lt;0.45)</f>
        <v>1</v>
      </c>
      <c r="BA44" s="1" t="b">
        <f t="shared" ref="BA44:BA67" si="39">AND((Z44/$Z44)&gt;0.999,(Z44/$Z44)&lt;1.01)</f>
        <v>1</v>
      </c>
      <c r="BC44">
        <f t="shared" ref="BC44:BC67" si="40">AS44</f>
        <v>1989</v>
      </c>
      <c r="BD44" s="2">
        <f t="shared" ref="BD44:BD67" si="41">S44</f>
        <v>27844.850329799996</v>
      </c>
      <c r="BE44" s="2">
        <f t="shared" ref="BE44:BE52" si="42">T44</f>
        <v>34544.605373480001</v>
      </c>
      <c r="BF44" s="2"/>
      <c r="BG44" s="2"/>
      <c r="BH44" s="2">
        <f t="shared" si="10"/>
        <v>19816.807978605</v>
      </c>
      <c r="BI44" s="2"/>
      <c r="BJ44" s="2">
        <f>Y44</f>
        <v>46310.445091199996</v>
      </c>
      <c r="BK44" s="2">
        <f t="shared" ref="BK44:BK67" si="43">Z44</f>
        <v>128516.708773085</v>
      </c>
      <c r="BL44" s="2">
        <f t="shared" ref="BL44:BL67" si="44">SUM(BD44:BJ44)-Z44</f>
        <v>0</v>
      </c>
      <c r="BM44" s="2"/>
    </row>
    <row r="45" spans="1:72" x14ac:dyDescent="0.2">
      <c r="A45">
        <f t="shared" si="8"/>
        <v>1990</v>
      </c>
      <c r="B45" s="2">
        <f t="shared" si="11"/>
        <v>26920.401298850637</v>
      </c>
      <c r="C45" s="2">
        <f t="shared" si="12"/>
        <v>29692.815548774735</v>
      </c>
      <c r="D45" s="2"/>
      <c r="E45" s="2"/>
      <c r="F45" s="2">
        <f t="shared" si="13"/>
        <v>17387.267320428025</v>
      </c>
      <c r="G45" s="2"/>
      <c r="H45" s="2">
        <f t="shared" si="14"/>
        <v>50316.298591588798</v>
      </c>
      <c r="I45" s="2">
        <f t="shared" ref="I45:I67" si="45">SUM(B45:H45)</f>
        <v>124316.7827596422</v>
      </c>
      <c r="J45" s="2">
        <f t="shared" si="15"/>
        <v>-8967.068921442813</v>
      </c>
      <c r="K45" s="83">
        <f t="shared" si="16"/>
        <v>-6.7277984604607391E-2</v>
      </c>
      <c r="L45" s="7">
        <f t="shared" si="17"/>
        <v>0.93272201539539257</v>
      </c>
      <c r="N45">
        <f t="shared" si="18"/>
        <v>1990</v>
      </c>
      <c r="O45" s="2">
        <f t="shared" si="19"/>
        <v>5067.4729112039995</v>
      </c>
      <c r="P45" s="2"/>
      <c r="Q45" s="2"/>
      <c r="R45">
        <f t="shared" si="20"/>
        <v>1990</v>
      </c>
      <c r="S45" s="2">
        <f t="shared" si="21"/>
        <v>25653.533071049638</v>
      </c>
      <c r="T45" s="2">
        <f t="shared" si="21"/>
        <v>28425.947320973737</v>
      </c>
      <c r="U45" s="2"/>
      <c r="V45" s="2"/>
      <c r="W45" s="2">
        <f t="shared" si="9"/>
        <v>16120.399092627025</v>
      </c>
      <c r="X45" s="2"/>
      <c r="Y45" s="2">
        <f t="shared" si="22"/>
        <v>49049.430363787797</v>
      </c>
      <c r="Z45" s="2">
        <f t="shared" si="23"/>
        <v>119249.30984843819</v>
      </c>
      <c r="AA45" s="2">
        <f t="shared" si="24"/>
        <v>-9267.3989246468118</v>
      </c>
      <c r="AB45" s="83">
        <f t="shared" si="25"/>
        <v>-7.2110459512387273E-2</v>
      </c>
      <c r="AC45" s="7">
        <f t="shared" si="26"/>
        <v>0.92788954048761274</v>
      </c>
      <c r="AD45" s="2">
        <f t="shared" si="27"/>
        <v>0</v>
      </c>
      <c r="AE45" s="2"/>
      <c r="AG45">
        <f t="shared" si="28"/>
        <v>1990</v>
      </c>
      <c r="AH45" s="6">
        <f t="shared" si="6"/>
        <v>0.21512521207589716</v>
      </c>
      <c r="AI45" s="6">
        <f t="shared" si="7"/>
        <v>0.23837410344011339</v>
      </c>
      <c r="AJ45" s="7"/>
      <c r="AK45" s="7"/>
      <c r="AL45" s="6">
        <f t="shared" si="29"/>
        <v>0.13518232611254105</v>
      </c>
      <c r="AM45" s="7"/>
      <c r="AN45" s="6">
        <f t="shared" si="30"/>
        <v>0.41131835837144842</v>
      </c>
      <c r="AO45" s="6">
        <f t="shared" si="31"/>
        <v>1</v>
      </c>
      <c r="AP45" s="7">
        <f t="shared" si="32"/>
        <v>0.58868164162855163</v>
      </c>
      <c r="AQ45" s="7">
        <f t="shared" si="33"/>
        <v>0</v>
      </c>
      <c r="AR45" s="24"/>
      <c r="AS45">
        <f t="shared" si="34"/>
        <v>1990</v>
      </c>
      <c r="AT45" s="1" t="b">
        <f t="shared" si="35"/>
        <v>1</v>
      </c>
      <c r="AU45" s="1" t="b">
        <f t="shared" si="36"/>
        <v>1</v>
      </c>
      <c r="AX45" s="1" t="b">
        <f t="shared" si="37"/>
        <v>1</v>
      </c>
      <c r="AZ45" s="1" t="b">
        <f t="shared" si="38"/>
        <v>1</v>
      </c>
      <c r="BA45" s="1" t="b">
        <f t="shared" si="39"/>
        <v>1</v>
      </c>
      <c r="BC45">
        <f t="shared" si="40"/>
        <v>1990</v>
      </c>
      <c r="BD45" s="2">
        <f t="shared" si="41"/>
        <v>25653.533071049638</v>
      </c>
      <c r="BE45" s="2">
        <f t="shared" si="42"/>
        <v>28425.947320973737</v>
      </c>
      <c r="BF45" s="2"/>
      <c r="BG45" s="2"/>
      <c r="BH45" s="2">
        <f t="shared" si="10"/>
        <v>16120.399092627025</v>
      </c>
      <c r="BI45" s="2"/>
      <c r="BJ45" s="2">
        <f>Y45</f>
        <v>49049.430363787797</v>
      </c>
      <c r="BK45" s="2">
        <f t="shared" si="43"/>
        <v>119249.30984843819</v>
      </c>
      <c r="BL45" s="2">
        <f t="shared" si="44"/>
        <v>0</v>
      </c>
      <c r="BM45" s="2"/>
    </row>
    <row r="46" spans="1:72" x14ac:dyDescent="0.2">
      <c r="A46">
        <f t="shared" si="8"/>
        <v>1991</v>
      </c>
      <c r="B46" s="2">
        <f t="shared" si="11"/>
        <v>33406.030765120842</v>
      </c>
      <c r="C46" s="2">
        <f t="shared" si="12"/>
        <v>40322.206274801247</v>
      </c>
      <c r="D46" s="2"/>
      <c r="E46" s="2"/>
      <c r="F46" s="2">
        <f t="shared" si="13"/>
        <v>17725.346026288975</v>
      </c>
      <c r="G46" s="2"/>
      <c r="H46" s="2">
        <f t="shared" si="14"/>
        <v>56529.468494265442</v>
      </c>
      <c r="I46" s="2">
        <f t="shared" si="45"/>
        <v>147983.05156047651</v>
      </c>
      <c r="J46" s="2">
        <f t="shared" si="15"/>
        <v>23666.26880083431</v>
      </c>
      <c r="K46" s="83">
        <f t="shared" si="16"/>
        <v>0.19037066657839261</v>
      </c>
      <c r="L46" s="7">
        <f t="shared" si="17"/>
        <v>1.1903706665783926</v>
      </c>
      <c r="N46">
        <f t="shared" si="18"/>
        <v>1991</v>
      </c>
      <c r="O46" s="2">
        <f t="shared" si="19"/>
        <v>5219.4970985401196</v>
      </c>
      <c r="P46" s="2"/>
      <c r="Q46" s="2"/>
      <c r="R46">
        <f t="shared" si="20"/>
        <v>1991</v>
      </c>
      <c r="S46" s="2">
        <f t="shared" si="21"/>
        <v>32101.156490485813</v>
      </c>
      <c r="T46" s="2">
        <f t="shared" si="21"/>
        <v>39017.332000166214</v>
      </c>
      <c r="U46" s="2"/>
      <c r="V46" s="2"/>
      <c r="W46" s="2">
        <f t="shared" si="9"/>
        <v>16420.471751653946</v>
      </c>
      <c r="X46" s="2"/>
      <c r="Y46" s="2">
        <f t="shared" si="22"/>
        <v>55224.594219630409</v>
      </c>
      <c r="Z46" s="2">
        <f t="shared" si="23"/>
        <v>142763.55446193638</v>
      </c>
      <c r="AA46" s="2">
        <f t="shared" si="24"/>
        <v>23514.244613498187</v>
      </c>
      <c r="AB46" s="83">
        <f t="shared" si="25"/>
        <v>0.19718558240197775</v>
      </c>
      <c r="AC46" s="7">
        <f t="shared" si="26"/>
        <v>1.1971855824019777</v>
      </c>
      <c r="AD46" s="2">
        <f t="shared" si="27"/>
        <v>0</v>
      </c>
      <c r="AE46" s="2"/>
      <c r="AG46">
        <f t="shared" si="28"/>
        <v>1991</v>
      </c>
      <c r="AH46" s="6">
        <f t="shared" si="6"/>
        <v>0.22485540242726743</v>
      </c>
      <c r="AI46" s="6">
        <f t="shared" si="7"/>
        <v>0.27330036820124853</v>
      </c>
      <c r="AJ46" s="7"/>
      <c r="AK46" s="7"/>
      <c r="AL46" s="6">
        <f t="shared" si="29"/>
        <v>0.11501865313974073</v>
      </c>
      <c r="AM46" s="7"/>
      <c r="AN46" s="6">
        <f t="shared" si="30"/>
        <v>0.3868255762317433</v>
      </c>
      <c r="AO46" s="6">
        <f t="shared" si="31"/>
        <v>1</v>
      </c>
      <c r="AP46" s="7">
        <f t="shared" si="32"/>
        <v>0.6131744237682567</v>
      </c>
      <c r="AQ46" s="7">
        <f t="shared" si="33"/>
        <v>0</v>
      </c>
      <c r="AR46" s="24"/>
      <c r="AS46">
        <f t="shared" si="34"/>
        <v>1991</v>
      </c>
      <c r="AT46" s="1" t="b">
        <f t="shared" si="35"/>
        <v>1</v>
      </c>
      <c r="AU46" s="1" t="b">
        <f t="shared" si="36"/>
        <v>1</v>
      </c>
      <c r="AX46" s="1" t="b">
        <f t="shared" si="37"/>
        <v>1</v>
      </c>
      <c r="AZ46" s="1" t="b">
        <f t="shared" si="38"/>
        <v>1</v>
      </c>
      <c r="BA46" s="1" t="b">
        <f t="shared" si="39"/>
        <v>1</v>
      </c>
      <c r="BC46">
        <f t="shared" si="40"/>
        <v>1991</v>
      </c>
      <c r="BD46" s="2">
        <f t="shared" si="41"/>
        <v>32101.156490485813</v>
      </c>
      <c r="BE46" s="2">
        <f t="shared" si="42"/>
        <v>39017.332000166214</v>
      </c>
      <c r="BF46" s="2"/>
      <c r="BG46" s="2"/>
      <c r="BH46" s="2">
        <f t="shared" si="10"/>
        <v>16420.471751653946</v>
      </c>
      <c r="BI46" s="2"/>
      <c r="BJ46" s="2">
        <f>Y46</f>
        <v>55224.594219630409</v>
      </c>
      <c r="BK46" s="2">
        <f t="shared" si="43"/>
        <v>142763.55446193638</v>
      </c>
      <c r="BL46" s="2">
        <f t="shared" si="44"/>
        <v>0</v>
      </c>
      <c r="BM46" s="2"/>
    </row>
    <row r="47" spans="1:72" x14ac:dyDescent="0.2">
      <c r="A47">
        <f t="shared" si="8"/>
        <v>1992</v>
      </c>
      <c r="B47" s="2">
        <f t="shared" si="11"/>
        <v>34483.062302079859</v>
      </c>
      <c r="C47" s="2">
        <f t="shared" si="12"/>
        <v>43881.232607306934</v>
      </c>
      <c r="D47" s="2"/>
      <c r="E47" s="2"/>
      <c r="F47" s="2">
        <f t="shared" si="13"/>
        <v>14988.442410192205</v>
      </c>
      <c r="G47" s="2"/>
      <c r="H47" s="2">
        <f t="shared" si="14"/>
        <v>59167.630246912013</v>
      </c>
      <c r="I47" s="2">
        <f t="shared" si="45"/>
        <v>152520.36756649101</v>
      </c>
      <c r="J47" s="2">
        <f t="shared" si="15"/>
        <v>4537.3160060145019</v>
      </c>
      <c r="K47" s="83">
        <f t="shared" si="16"/>
        <v>3.0661051777001833E-2</v>
      </c>
      <c r="L47" s="7">
        <f t="shared" si="17"/>
        <v>1.0306610517770018</v>
      </c>
      <c r="N47">
        <f t="shared" si="18"/>
        <v>1992</v>
      </c>
      <c r="O47" s="2">
        <f t="shared" si="19"/>
        <v>5376.0820114963235</v>
      </c>
      <c r="P47" s="2"/>
      <c r="Q47" s="2"/>
      <c r="R47">
        <f t="shared" si="20"/>
        <v>1992</v>
      </c>
      <c r="S47" s="2">
        <f t="shared" si="21"/>
        <v>33139.041799205777</v>
      </c>
      <c r="T47" s="2">
        <f t="shared" si="21"/>
        <v>42537.212104432852</v>
      </c>
      <c r="U47" s="2"/>
      <c r="V47" s="2"/>
      <c r="W47" s="2">
        <f t="shared" si="9"/>
        <v>13644.421907318125</v>
      </c>
      <c r="X47" s="2"/>
      <c r="Y47" s="2">
        <f t="shared" si="22"/>
        <v>57823.609744037931</v>
      </c>
      <c r="Z47" s="2">
        <f t="shared" si="23"/>
        <v>147144.28555499468</v>
      </c>
      <c r="AA47" s="2">
        <f t="shared" si="24"/>
        <v>4380.7310930583044</v>
      </c>
      <c r="AB47" s="83">
        <f t="shared" si="25"/>
        <v>3.0685220114957945E-2</v>
      </c>
      <c r="AC47" s="7">
        <f t="shared" si="26"/>
        <v>1.0306852201149579</v>
      </c>
      <c r="AD47" s="2">
        <f t="shared" si="27"/>
        <v>0</v>
      </c>
      <c r="AE47" s="2"/>
      <c r="AG47">
        <f t="shared" si="28"/>
        <v>1992</v>
      </c>
      <c r="AH47" s="6">
        <f t="shared" si="6"/>
        <v>0.22521460262090962</v>
      </c>
      <c r="AI47" s="59">
        <f t="shared" si="7"/>
        <v>0.2890850429154771</v>
      </c>
      <c r="AJ47" s="7"/>
      <c r="AK47" s="7"/>
      <c r="AL47" s="38">
        <f t="shared" si="29"/>
        <v>9.2728180750305575E-2</v>
      </c>
      <c r="AM47" s="7"/>
      <c r="AN47" s="6">
        <f t="shared" si="30"/>
        <v>0.39297217371330773</v>
      </c>
      <c r="AO47" s="6">
        <f t="shared" si="31"/>
        <v>1</v>
      </c>
      <c r="AP47" s="7">
        <f t="shared" si="32"/>
        <v>0.60702782628669227</v>
      </c>
      <c r="AQ47" s="7">
        <f t="shared" si="33"/>
        <v>0</v>
      </c>
      <c r="AR47" s="24"/>
      <c r="AS47">
        <f t="shared" si="34"/>
        <v>1992</v>
      </c>
      <c r="AT47" s="1" t="b">
        <f t="shared" si="35"/>
        <v>1</v>
      </c>
      <c r="AU47" s="1" t="b">
        <f t="shared" si="36"/>
        <v>1</v>
      </c>
      <c r="AX47" s="39" t="b">
        <f t="shared" si="37"/>
        <v>0</v>
      </c>
      <c r="AZ47" s="1" t="b">
        <f t="shared" si="38"/>
        <v>1</v>
      </c>
      <c r="BA47" s="1" t="b">
        <f t="shared" si="39"/>
        <v>1</v>
      </c>
      <c r="BC47">
        <f t="shared" si="40"/>
        <v>1992</v>
      </c>
      <c r="BD47" s="40">
        <f>$BK47*BD$42</f>
        <v>29428.857110998939</v>
      </c>
      <c r="BE47" s="40">
        <f>$BK47*BE$42</f>
        <v>36786.071388748671</v>
      </c>
      <c r="BF47" s="2"/>
      <c r="BG47" s="2"/>
      <c r="BH47" s="40">
        <f>$BK47*BH$42</f>
        <v>22071.642833249203</v>
      </c>
      <c r="BI47" s="2"/>
      <c r="BJ47" s="40">
        <f>$BK47*BJ$42</f>
        <v>58857.714221997878</v>
      </c>
      <c r="BK47" s="2">
        <f t="shared" si="43"/>
        <v>147144.28555499468</v>
      </c>
      <c r="BL47" s="2">
        <f t="shared" si="44"/>
        <v>0</v>
      </c>
      <c r="BM47" s="2"/>
      <c r="BN47" s="2"/>
      <c r="BO47" s="2"/>
      <c r="BP47" s="2"/>
      <c r="BQ47" s="2"/>
      <c r="BR47" s="2"/>
      <c r="BS47" s="2"/>
      <c r="BT47" s="2"/>
    </row>
    <row r="48" spans="1:72" x14ac:dyDescent="0.2">
      <c r="A48">
        <f t="shared" si="8"/>
        <v>1993</v>
      </c>
      <c r="B48" s="2">
        <f t="shared" si="11"/>
        <v>32339.371079276734</v>
      </c>
      <c r="C48" s="2">
        <f t="shared" si="12"/>
        <v>42116.373132978355</v>
      </c>
      <c r="D48" s="2"/>
      <c r="E48" s="2"/>
      <c r="F48" s="2">
        <f t="shared" si="13"/>
        <v>28802.169598820215</v>
      </c>
      <c r="G48" s="2"/>
      <c r="H48" s="2">
        <f t="shared" si="14"/>
        <v>64555.140958687269</v>
      </c>
      <c r="I48" s="2">
        <f t="shared" si="45"/>
        <v>167813.05476976256</v>
      </c>
      <c r="J48" s="2">
        <f t="shared" si="15"/>
        <v>15292.687203271547</v>
      </c>
      <c r="K48" s="83">
        <f t="shared" si="16"/>
        <v>0.10026652470926366</v>
      </c>
      <c r="L48" s="7">
        <f t="shared" si="17"/>
        <v>1.1002665247092636</v>
      </c>
      <c r="N48">
        <f t="shared" si="18"/>
        <v>1993</v>
      </c>
      <c r="O48" s="2">
        <f t="shared" si="19"/>
        <v>5526.6123078182209</v>
      </c>
      <c r="P48" s="2"/>
      <c r="Q48" s="2"/>
      <c r="R48">
        <f t="shared" si="20"/>
        <v>1993</v>
      </c>
      <c r="S48" s="2">
        <f t="shared" si="21"/>
        <v>30957.718002322181</v>
      </c>
      <c r="T48" s="2">
        <f t="shared" si="21"/>
        <v>40734.720056023798</v>
      </c>
      <c r="U48" s="2"/>
      <c r="V48" s="2"/>
      <c r="W48" s="2">
        <f t="shared" si="9"/>
        <v>27420.516521865662</v>
      </c>
      <c r="X48" s="2"/>
      <c r="Y48" s="2">
        <f t="shared" si="22"/>
        <v>63173.487881732712</v>
      </c>
      <c r="Z48" s="2">
        <f t="shared" si="23"/>
        <v>162286.44246194436</v>
      </c>
      <c r="AA48" s="2">
        <f t="shared" si="24"/>
        <v>15142.156906949676</v>
      </c>
      <c r="AB48" s="83">
        <f t="shared" si="25"/>
        <v>0.10290686349005614</v>
      </c>
      <c r="AC48" s="7">
        <f t="shared" si="26"/>
        <v>1.1029068634900561</v>
      </c>
      <c r="AD48" s="2">
        <f t="shared" si="27"/>
        <v>0</v>
      </c>
      <c r="AE48" s="2"/>
      <c r="AG48">
        <f t="shared" si="28"/>
        <v>1993</v>
      </c>
      <c r="AH48" s="6">
        <f t="shared" si="6"/>
        <v>0.19075973034273436</v>
      </c>
      <c r="AI48" s="6">
        <f t="shared" si="7"/>
        <v>0.25100507126820504</v>
      </c>
      <c r="AJ48" s="7"/>
      <c r="AK48" s="7"/>
      <c r="AL48" s="6">
        <f t="shared" si="29"/>
        <v>0.16896369225849339</v>
      </c>
      <c r="AM48" s="7"/>
      <c r="AN48" s="6">
        <f t="shared" si="30"/>
        <v>0.38927150613056716</v>
      </c>
      <c r="AO48" s="6">
        <f t="shared" si="31"/>
        <v>1</v>
      </c>
      <c r="AP48" s="7">
        <f t="shared" si="32"/>
        <v>0.61072849386943284</v>
      </c>
      <c r="AQ48" s="7">
        <f t="shared" si="33"/>
        <v>0</v>
      </c>
      <c r="AR48" s="24"/>
      <c r="AS48">
        <f t="shared" si="34"/>
        <v>1993</v>
      </c>
      <c r="AT48" s="1" t="b">
        <f t="shared" si="35"/>
        <v>1</v>
      </c>
      <c r="AU48" s="1" t="b">
        <f t="shared" si="36"/>
        <v>1</v>
      </c>
      <c r="AX48" s="1" t="b">
        <f t="shared" si="37"/>
        <v>1</v>
      </c>
      <c r="AZ48" s="1" t="b">
        <f t="shared" si="38"/>
        <v>1</v>
      </c>
      <c r="BA48" s="1" t="b">
        <f t="shared" si="39"/>
        <v>1</v>
      </c>
      <c r="BC48">
        <f t="shared" si="40"/>
        <v>1993</v>
      </c>
      <c r="BD48" s="2">
        <f t="shared" si="41"/>
        <v>30957.718002322181</v>
      </c>
      <c r="BE48" s="2">
        <f t="shared" si="42"/>
        <v>40734.720056023798</v>
      </c>
      <c r="BF48" s="2"/>
      <c r="BG48" s="2"/>
      <c r="BH48" s="2">
        <f t="shared" si="10"/>
        <v>27420.516521865662</v>
      </c>
      <c r="BI48" s="2"/>
      <c r="BJ48" s="2">
        <f>Y48</f>
        <v>63173.487881732712</v>
      </c>
      <c r="BK48" s="2">
        <f t="shared" si="43"/>
        <v>162286.44246194436</v>
      </c>
      <c r="BL48" s="2">
        <f t="shared" si="44"/>
        <v>0</v>
      </c>
      <c r="BM48" s="2"/>
    </row>
    <row r="49" spans="1:65" x14ac:dyDescent="0.2">
      <c r="A49">
        <f t="shared" si="8"/>
        <v>1994</v>
      </c>
      <c r="B49" s="2">
        <f t="shared" si="11"/>
        <v>31323.019074749584</v>
      </c>
      <c r="C49" s="2">
        <f t="shared" si="12"/>
        <v>40016.159594235542</v>
      </c>
      <c r="D49" s="2"/>
      <c r="E49" s="2"/>
      <c r="F49" s="2">
        <f t="shared" si="13"/>
        <v>28861.464665089705</v>
      </c>
      <c r="G49" s="2"/>
      <c r="H49" s="2">
        <f t="shared" si="14"/>
        <v>61493.073104078627</v>
      </c>
      <c r="I49" s="2">
        <f t="shared" si="45"/>
        <v>161693.71643815347</v>
      </c>
      <c r="J49" s="2">
        <f t="shared" si="15"/>
        <v>-6119.3383316090913</v>
      </c>
      <c r="K49" s="83">
        <f t="shared" si="16"/>
        <v>-3.6465210290133554E-2</v>
      </c>
      <c r="L49" s="7">
        <f t="shared" si="17"/>
        <v>0.9635347897098665</v>
      </c>
      <c r="N49">
        <f t="shared" si="18"/>
        <v>1994</v>
      </c>
      <c r="O49" s="2">
        <f t="shared" si="19"/>
        <v>5670.3042278214944</v>
      </c>
      <c r="P49" s="2"/>
      <c r="Q49" s="2"/>
      <c r="R49">
        <f t="shared" si="20"/>
        <v>1994</v>
      </c>
      <c r="S49" s="2">
        <f t="shared" si="21"/>
        <v>29905.443017794209</v>
      </c>
      <c r="T49" s="2">
        <f t="shared" si="21"/>
        <v>38598.583537280167</v>
      </c>
      <c r="U49" s="2"/>
      <c r="V49" s="2"/>
      <c r="W49" s="2">
        <f t="shared" si="9"/>
        <v>27443.88860813433</v>
      </c>
      <c r="X49" s="2"/>
      <c r="Y49" s="2">
        <f t="shared" si="22"/>
        <v>60075.497047123252</v>
      </c>
      <c r="Z49" s="2">
        <f t="shared" si="23"/>
        <v>156023.41221033194</v>
      </c>
      <c r="AA49" s="2">
        <f t="shared" si="24"/>
        <v>-6263.0302516124211</v>
      </c>
      <c r="AB49" s="83">
        <f t="shared" si="25"/>
        <v>-3.8592442822702709E-2</v>
      </c>
      <c r="AC49" s="7">
        <f t="shared" si="26"/>
        <v>0.96140755717729731</v>
      </c>
      <c r="AD49" s="2">
        <f t="shared" si="27"/>
        <v>0</v>
      </c>
      <c r="AE49" s="2"/>
      <c r="AG49">
        <f t="shared" si="28"/>
        <v>1994</v>
      </c>
      <c r="AH49" s="6">
        <f t="shared" si="6"/>
        <v>0.19167279188510053</v>
      </c>
      <c r="AI49" s="6">
        <f t="shared" si="7"/>
        <v>0.24738968972968117</v>
      </c>
      <c r="AJ49" s="7"/>
      <c r="AK49" s="7"/>
      <c r="AL49" s="6">
        <f t="shared" si="29"/>
        <v>0.17589596471033328</v>
      </c>
      <c r="AM49" s="7"/>
      <c r="AN49" s="6">
        <f t="shared" si="30"/>
        <v>0.38504155367488513</v>
      </c>
      <c r="AO49" s="6">
        <f t="shared" si="31"/>
        <v>1</v>
      </c>
      <c r="AP49" s="7">
        <f t="shared" si="32"/>
        <v>0.61495844632511498</v>
      </c>
      <c r="AQ49" s="7">
        <f t="shared" si="33"/>
        <v>0</v>
      </c>
      <c r="AR49" s="24"/>
      <c r="AS49">
        <f t="shared" si="34"/>
        <v>1994</v>
      </c>
      <c r="AT49" s="1" t="b">
        <f t="shared" si="35"/>
        <v>1</v>
      </c>
      <c r="AU49" s="1" t="b">
        <f t="shared" si="36"/>
        <v>1</v>
      </c>
      <c r="AX49" s="1" t="b">
        <f t="shared" si="37"/>
        <v>1</v>
      </c>
      <c r="AZ49" s="1" t="b">
        <f t="shared" si="38"/>
        <v>1</v>
      </c>
      <c r="BA49" s="1" t="b">
        <f t="shared" si="39"/>
        <v>1</v>
      </c>
      <c r="BC49">
        <f t="shared" si="40"/>
        <v>1994</v>
      </c>
      <c r="BD49" s="2">
        <f t="shared" si="41"/>
        <v>29905.443017794209</v>
      </c>
      <c r="BE49" s="2">
        <f t="shared" si="42"/>
        <v>38598.583537280167</v>
      </c>
      <c r="BF49" s="2"/>
      <c r="BG49" s="2"/>
      <c r="BH49" s="2">
        <f t="shared" si="10"/>
        <v>27443.88860813433</v>
      </c>
      <c r="BI49" s="2"/>
      <c r="BJ49" s="2">
        <f>Y49</f>
        <v>60075.497047123252</v>
      </c>
      <c r="BK49" s="2">
        <f t="shared" si="43"/>
        <v>156023.41221033194</v>
      </c>
      <c r="BL49" s="2">
        <f t="shared" si="44"/>
        <v>0</v>
      </c>
      <c r="BM49" s="2"/>
    </row>
    <row r="50" spans="1:65" x14ac:dyDescent="0.2">
      <c r="A50">
        <f t="shared" si="8"/>
        <v>1995</v>
      </c>
      <c r="B50" s="2">
        <f t="shared" si="11"/>
        <v>41105.031427958143</v>
      </c>
      <c r="C50" s="2">
        <f t="shared" si="12"/>
        <v>51643.74681537474</v>
      </c>
      <c r="D50" s="2"/>
      <c r="E50" s="2"/>
      <c r="F50" s="2">
        <f t="shared" si="13"/>
        <v>30091.126103274968</v>
      </c>
      <c r="G50" s="2"/>
      <c r="H50" s="2">
        <f t="shared" si="14"/>
        <v>70997.222410290255</v>
      </c>
      <c r="I50" s="2">
        <f t="shared" si="45"/>
        <v>193837.12675689813</v>
      </c>
      <c r="J50" s="2">
        <f t="shared" si="15"/>
        <v>32143.41031874466</v>
      </c>
      <c r="K50" s="83">
        <f t="shared" si="16"/>
        <v>0.19879195695918866</v>
      </c>
      <c r="L50" s="7">
        <f t="shared" si="17"/>
        <v>1.1987919569591887</v>
      </c>
      <c r="N50">
        <f t="shared" si="18"/>
        <v>1995</v>
      </c>
      <c r="O50" s="2">
        <f t="shared" si="19"/>
        <v>5812.0618335170311</v>
      </c>
      <c r="P50" s="2"/>
      <c r="Q50" s="2"/>
      <c r="R50">
        <f t="shared" si="20"/>
        <v>1995</v>
      </c>
      <c r="S50" s="2">
        <f t="shared" si="21"/>
        <v>39652.015969578883</v>
      </c>
      <c r="T50" s="2">
        <f t="shared" si="21"/>
        <v>50190.731356995479</v>
      </c>
      <c r="U50" s="2"/>
      <c r="V50" s="2"/>
      <c r="W50" s="2">
        <f t="shared" si="9"/>
        <v>28638.110644895711</v>
      </c>
      <c r="X50" s="2"/>
      <c r="Y50" s="2">
        <f t="shared" si="22"/>
        <v>69544.206951910994</v>
      </c>
      <c r="Z50" s="2">
        <f t="shared" si="23"/>
        <v>188025.06492338108</v>
      </c>
      <c r="AA50" s="2">
        <f t="shared" si="24"/>
        <v>32001.652713049145</v>
      </c>
      <c r="AB50" s="83">
        <f t="shared" si="25"/>
        <v>0.20510801718596167</v>
      </c>
      <c r="AC50" s="7">
        <f t="shared" si="26"/>
        <v>1.2051080171859616</v>
      </c>
      <c r="AD50" s="2">
        <f t="shared" si="27"/>
        <v>0</v>
      </c>
      <c r="AE50" s="2"/>
      <c r="AG50">
        <f t="shared" si="28"/>
        <v>1995</v>
      </c>
      <c r="AH50" s="6">
        <f t="shared" si="6"/>
        <v>0.21088686226879808</v>
      </c>
      <c r="AI50" s="6">
        <f t="shared" si="7"/>
        <v>0.26693638626024596</v>
      </c>
      <c r="AJ50" s="7"/>
      <c r="AK50" s="7"/>
      <c r="AL50" s="6">
        <f t="shared" si="29"/>
        <v>0.15231006917383882</v>
      </c>
      <c r="AM50" s="7"/>
      <c r="AN50" s="6">
        <f t="shared" si="30"/>
        <v>0.369866682297117</v>
      </c>
      <c r="AO50" s="6">
        <f t="shared" si="31"/>
        <v>0.99999999999999978</v>
      </c>
      <c r="AP50" s="7">
        <f t="shared" si="32"/>
        <v>0.63013331770288283</v>
      </c>
      <c r="AQ50" s="7">
        <f t="shared" si="33"/>
        <v>0</v>
      </c>
      <c r="AR50" s="24"/>
      <c r="AS50">
        <f t="shared" si="34"/>
        <v>1995</v>
      </c>
      <c r="AT50" s="1" t="b">
        <f t="shared" si="35"/>
        <v>1</v>
      </c>
      <c r="AU50" s="1" t="b">
        <f t="shared" si="36"/>
        <v>1</v>
      </c>
      <c r="AX50" s="1" t="b">
        <f t="shared" si="37"/>
        <v>1</v>
      </c>
      <c r="AZ50" s="1" t="b">
        <f t="shared" si="38"/>
        <v>1</v>
      </c>
      <c r="BA50" s="1" t="b">
        <f t="shared" si="39"/>
        <v>1</v>
      </c>
      <c r="BC50">
        <f t="shared" si="40"/>
        <v>1995</v>
      </c>
      <c r="BD50" s="2">
        <f t="shared" si="41"/>
        <v>39652.015969578883</v>
      </c>
      <c r="BE50" s="2">
        <f t="shared" si="42"/>
        <v>50190.731356995479</v>
      </c>
      <c r="BF50" s="2"/>
      <c r="BG50" s="2"/>
      <c r="BH50" s="2">
        <f t="shared" si="10"/>
        <v>28638.110644895711</v>
      </c>
      <c r="BI50" s="2"/>
      <c r="BJ50" s="2">
        <f>Y50</f>
        <v>69544.206951910994</v>
      </c>
      <c r="BK50" s="2">
        <f t="shared" si="43"/>
        <v>188025.06492338108</v>
      </c>
      <c r="BL50" s="2">
        <f t="shared" si="44"/>
        <v>0</v>
      </c>
      <c r="BM50" s="2"/>
    </row>
    <row r="51" spans="1:65" x14ac:dyDescent="0.2">
      <c r="A51">
        <f t="shared" si="8"/>
        <v>1996</v>
      </c>
      <c r="B51" s="2">
        <f t="shared" si="11"/>
        <v>48724.397223418535</v>
      </c>
      <c r="C51" s="2">
        <f t="shared" si="12"/>
        <v>59047.889719564468</v>
      </c>
      <c r="D51" s="2"/>
      <c r="E51" s="2"/>
      <c r="F51" s="2">
        <f t="shared" si="13"/>
        <v>31564.639171697603</v>
      </c>
      <c r="G51" s="2"/>
      <c r="H51" s="2">
        <f t="shared" si="14"/>
        <v>72033.889560789408</v>
      </c>
      <c r="I51" s="2">
        <f t="shared" si="45"/>
        <v>211370.81567546999</v>
      </c>
      <c r="J51" s="2">
        <f t="shared" si="15"/>
        <v>17533.688918571861</v>
      </c>
      <c r="K51" s="83">
        <f t="shared" si="16"/>
        <v>9.04557821916223E-2</v>
      </c>
      <c r="L51" s="7">
        <f t="shared" si="17"/>
        <v>1.0904557821916223</v>
      </c>
      <c r="N51">
        <f t="shared" si="18"/>
        <v>1996</v>
      </c>
      <c r="O51" s="2">
        <f t="shared" si="19"/>
        <v>6009.6719358566106</v>
      </c>
      <c r="P51" s="2"/>
      <c r="Q51" s="2"/>
      <c r="R51">
        <f t="shared" si="20"/>
        <v>1996</v>
      </c>
      <c r="S51" s="2">
        <f t="shared" si="21"/>
        <v>47221.979239454384</v>
      </c>
      <c r="T51" s="2">
        <f t="shared" si="21"/>
        <v>57545.471735600317</v>
      </c>
      <c r="U51" s="2"/>
      <c r="V51" s="2"/>
      <c r="W51" s="2">
        <f t="shared" si="9"/>
        <v>30062.221187733452</v>
      </c>
      <c r="X51" s="2"/>
      <c r="Y51" s="2">
        <f t="shared" si="22"/>
        <v>70531.47157682525</v>
      </c>
      <c r="Z51" s="2">
        <f t="shared" si="23"/>
        <v>205361.14373961341</v>
      </c>
      <c r="AA51" s="2">
        <f t="shared" si="24"/>
        <v>17336.07881623233</v>
      </c>
      <c r="AB51" s="83">
        <f t="shared" si="25"/>
        <v>9.2200892595339146E-2</v>
      </c>
      <c r="AC51" s="7">
        <f t="shared" si="26"/>
        <v>1.092200892595339</v>
      </c>
      <c r="AD51" s="2">
        <f t="shared" si="27"/>
        <v>0</v>
      </c>
      <c r="AE51" s="2"/>
      <c r="AG51">
        <f t="shared" si="28"/>
        <v>1996</v>
      </c>
      <c r="AH51" s="6">
        <f t="shared" si="6"/>
        <v>0.22994602766397348</v>
      </c>
      <c r="AI51" s="6">
        <f t="shared" si="7"/>
        <v>0.28021596825816669</v>
      </c>
      <c r="AJ51" s="7"/>
      <c r="AK51" s="7"/>
      <c r="AL51" s="6">
        <f t="shared" si="29"/>
        <v>0.14638709465823138</v>
      </c>
      <c r="AM51" s="6"/>
      <c r="AN51" s="38">
        <f t="shared" si="30"/>
        <v>0.34345090941962836</v>
      </c>
      <c r="AO51" s="6">
        <f t="shared" si="31"/>
        <v>1</v>
      </c>
      <c r="AP51" s="7">
        <f t="shared" si="32"/>
        <v>0.65654909058037159</v>
      </c>
      <c r="AQ51" s="7">
        <f t="shared" si="33"/>
        <v>0</v>
      </c>
      <c r="AR51" s="24"/>
      <c r="AS51">
        <f t="shared" si="34"/>
        <v>1996</v>
      </c>
      <c r="AT51" s="1" t="b">
        <f t="shared" si="35"/>
        <v>1</v>
      </c>
      <c r="AU51" s="1" t="b">
        <f t="shared" si="36"/>
        <v>1</v>
      </c>
      <c r="AX51" s="1" t="b">
        <f t="shared" si="37"/>
        <v>1</v>
      </c>
      <c r="AZ51" s="39" t="b">
        <f t="shared" si="38"/>
        <v>0</v>
      </c>
      <c r="BA51" s="1" t="b">
        <f t="shared" si="39"/>
        <v>1</v>
      </c>
      <c r="BC51">
        <f t="shared" si="40"/>
        <v>1996</v>
      </c>
      <c r="BD51" s="40">
        <f>$BK51*BD$42</f>
        <v>41072.228747922687</v>
      </c>
      <c r="BE51" s="40">
        <f>$BK51*BE$42</f>
        <v>51340.285934903353</v>
      </c>
      <c r="BF51" s="2"/>
      <c r="BG51" s="2"/>
      <c r="BH51" s="40">
        <f>$BK51*BH$42</f>
        <v>30804.17156094201</v>
      </c>
      <c r="BI51" s="2"/>
      <c r="BJ51" s="40">
        <f>$BK51*BJ$42</f>
        <v>82144.457495845374</v>
      </c>
      <c r="BK51" s="2">
        <f t="shared" si="43"/>
        <v>205361.14373961341</v>
      </c>
      <c r="BL51" s="2">
        <f t="shared" si="44"/>
        <v>0</v>
      </c>
      <c r="BM51" s="2"/>
    </row>
    <row r="52" spans="1:65" x14ac:dyDescent="0.2">
      <c r="A52">
        <f t="shared" si="8"/>
        <v>1997</v>
      </c>
      <c r="B52" s="2">
        <f t="shared" si="11"/>
        <v>54704.101469358233</v>
      </c>
      <c r="C52" s="2">
        <f t="shared" si="12"/>
        <v>65041.468042351007</v>
      </c>
      <c r="D52" s="2"/>
      <c r="E52" s="2"/>
      <c r="F52" s="2"/>
      <c r="G52" s="2">
        <f>BH51*(1+(G13/100))</f>
        <v>30565.43923134471</v>
      </c>
      <c r="H52" s="2">
        <f t="shared" si="14"/>
        <v>89898.894283453177</v>
      </c>
      <c r="I52" s="2">
        <f t="shared" si="45"/>
        <v>240209.90302650712</v>
      </c>
      <c r="J52" s="2">
        <f t="shared" si="15"/>
        <v>28839.087351037131</v>
      </c>
      <c r="K52" s="83">
        <f t="shared" si="16"/>
        <v>0.13643835956670325</v>
      </c>
      <c r="L52" s="7">
        <f t="shared" si="17"/>
        <v>1.1364383595667031</v>
      </c>
      <c r="N52">
        <f t="shared" si="18"/>
        <v>1997</v>
      </c>
      <c r="O52" s="2">
        <f t="shared" si="19"/>
        <v>6111.8363587661725</v>
      </c>
      <c r="P52" s="2"/>
      <c r="Q52" s="2"/>
      <c r="R52">
        <f t="shared" si="20"/>
        <v>1997</v>
      </c>
      <c r="S52" s="2">
        <f t="shared" si="21"/>
        <v>53176.142379666693</v>
      </c>
      <c r="T52" s="2">
        <f t="shared" si="21"/>
        <v>63513.508952659467</v>
      </c>
      <c r="U52" s="2"/>
      <c r="V52" s="2"/>
      <c r="W52" s="2"/>
      <c r="X52" s="2">
        <f>G52-($O52/4)</f>
        <v>29037.480141653166</v>
      </c>
      <c r="Y52" s="2">
        <f t="shared" si="22"/>
        <v>88370.93519376163</v>
      </c>
      <c r="Z52" s="2">
        <f t="shared" si="23"/>
        <v>234098.06666774096</v>
      </c>
      <c r="AA52" s="2">
        <f t="shared" si="24"/>
        <v>28736.922928127547</v>
      </c>
      <c r="AB52" s="83">
        <f t="shared" si="25"/>
        <v>0.13993359408128531</v>
      </c>
      <c r="AC52" s="7">
        <f t="shared" si="26"/>
        <v>1.1399335940812854</v>
      </c>
      <c r="AD52" s="2">
        <f t="shared" si="27"/>
        <v>0</v>
      </c>
      <c r="AE52" s="2"/>
      <c r="AG52">
        <f t="shared" si="28"/>
        <v>1997</v>
      </c>
      <c r="AH52" s="6">
        <f t="shared" si="6"/>
        <v>0.22715327442298114</v>
      </c>
      <c r="AI52" s="6">
        <f t="shared" si="7"/>
        <v>0.27131154843241478</v>
      </c>
      <c r="AJ52" s="7"/>
      <c r="AK52" s="7"/>
      <c r="AL52" s="6"/>
      <c r="AM52" s="6">
        <f t="shared" si="29"/>
        <v>0.12403981184033662</v>
      </c>
      <c r="AN52" s="6">
        <f t="shared" si="30"/>
        <v>0.37749536530426747</v>
      </c>
      <c r="AO52" s="6">
        <f t="shared" si="31"/>
        <v>1</v>
      </c>
      <c r="AP52" s="7">
        <f t="shared" si="32"/>
        <v>0.62250463469573258</v>
      </c>
      <c r="AQ52" s="7">
        <f t="shared" si="33"/>
        <v>0</v>
      </c>
      <c r="AR52" s="24"/>
      <c r="AS52">
        <f t="shared" si="34"/>
        <v>1997</v>
      </c>
      <c r="AT52" s="1" t="b">
        <f t="shared" si="35"/>
        <v>1</v>
      </c>
      <c r="AU52" s="1" t="b">
        <f t="shared" si="36"/>
        <v>1</v>
      </c>
      <c r="AX52" s="1"/>
      <c r="AY52" s="1" t="b">
        <f>AND((X52/$Z52)&gt;0.1,(X52/$Z52)&lt;0.2)</f>
        <v>1</v>
      </c>
      <c r="AZ52" s="1" t="b">
        <f t="shared" si="38"/>
        <v>1</v>
      </c>
      <c r="BA52" s="1" t="b">
        <f t="shared" si="39"/>
        <v>1</v>
      </c>
      <c r="BC52">
        <f t="shared" si="40"/>
        <v>1997</v>
      </c>
      <c r="BD52" s="2">
        <f t="shared" si="41"/>
        <v>53176.142379666693</v>
      </c>
      <c r="BE52" s="2">
        <f t="shared" si="42"/>
        <v>63513.508952659467</v>
      </c>
      <c r="BF52" s="2"/>
      <c r="BG52" s="2"/>
      <c r="BH52" s="2"/>
      <c r="BI52" s="2">
        <f>X52</f>
        <v>29037.480141653166</v>
      </c>
      <c r="BJ52" s="2">
        <f>Y52</f>
        <v>88370.93519376163</v>
      </c>
      <c r="BK52" s="2">
        <f t="shared" si="43"/>
        <v>234098.06666774096</v>
      </c>
      <c r="BL52" s="2">
        <f t="shared" si="44"/>
        <v>0</v>
      </c>
      <c r="BM52" s="2"/>
    </row>
    <row r="53" spans="1:65" x14ac:dyDescent="0.2">
      <c r="A53">
        <f t="shared" si="8"/>
        <v>1998</v>
      </c>
      <c r="B53" s="2">
        <f t="shared" si="11"/>
        <v>68416.424785679163</v>
      </c>
      <c r="C53" s="2">
        <f t="shared" si="12"/>
        <v>68818.792355475118</v>
      </c>
      <c r="D53" s="2"/>
      <c r="E53" s="2"/>
      <c r="F53" s="2"/>
      <c r="G53" s="2">
        <f t="shared" ref="G53:G69" si="46">BI52*(1+(G14/100))</f>
        <v>33568.198168155308</v>
      </c>
      <c r="H53" s="2">
        <f t="shared" si="14"/>
        <v>95953.161433386384</v>
      </c>
      <c r="I53" s="2">
        <f t="shared" si="45"/>
        <v>266756.57674269599</v>
      </c>
      <c r="J53" s="2">
        <f t="shared" si="15"/>
        <v>26546.673716188874</v>
      </c>
      <c r="K53" s="83">
        <f t="shared" si="16"/>
        <v>0.11051448496384203</v>
      </c>
      <c r="L53" s="7">
        <f t="shared" si="17"/>
        <v>1.110514484963842</v>
      </c>
      <c r="N53">
        <f t="shared" si="18"/>
        <v>1998</v>
      </c>
      <c r="O53" s="2">
        <f t="shared" si="19"/>
        <v>6209.6257405064316</v>
      </c>
      <c r="P53" s="2"/>
      <c r="Q53" s="2"/>
      <c r="R53">
        <f t="shared" si="20"/>
        <v>1998</v>
      </c>
      <c r="S53" s="2">
        <f>B53-($O53/4)</f>
        <v>66864.018350552549</v>
      </c>
      <c r="T53" s="2">
        <f>C53-($O53/4)</f>
        <v>67266.385920348504</v>
      </c>
      <c r="U53" s="2"/>
      <c r="V53" s="2"/>
      <c r="W53" s="2"/>
      <c r="X53" s="2">
        <f>G53-($O53/4)</f>
        <v>32015.791733028702</v>
      </c>
      <c r="Y53" s="2">
        <f>H53-($O53/4)</f>
        <v>94400.75499825977</v>
      </c>
      <c r="Z53" s="2">
        <f t="shared" si="23"/>
        <v>260546.95100218954</v>
      </c>
      <c r="AA53" s="2">
        <f t="shared" si="24"/>
        <v>26448.884334448579</v>
      </c>
      <c r="AB53" s="83">
        <f t="shared" si="25"/>
        <v>0.11298207076604308</v>
      </c>
      <c r="AC53" s="7">
        <f t="shared" si="26"/>
        <v>1.1129820707660432</v>
      </c>
      <c r="AD53" s="2">
        <f t="shared" si="27"/>
        <v>0</v>
      </c>
      <c r="AE53" s="2"/>
      <c r="AG53">
        <f t="shared" si="28"/>
        <v>1998</v>
      </c>
      <c r="AH53" s="38">
        <f t="shared" si="6"/>
        <v>0.25662944084880368</v>
      </c>
      <c r="AI53" s="6">
        <f t="shared" si="7"/>
        <v>0.25817375970668421</v>
      </c>
      <c r="AJ53" s="7"/>
      <c r="AK53" s="7"/>
      <c r="AL53" s="7"/>
      <c r="AM53" s="6">
        <f t="shared" si="29"/>
        <v>0.12287916481033644</v>
      </c>
      <c r="AN53" s="6">
        <f t="shared" si="30"/>
        <v>0.36231763463417566</v>
      </c>
      <c r="AO53" s="6">
        <f t="shared" si="31"/>
        <v>1</v>
      </c>
      <c r="AP53" s="7">
        <f t="shared" si="32"/>
        <v>0.63768236536582434</v>
      </c>
      <c r="AQ53" s="7">
        <f t="shared" si="33"/>
        <v>0</v>
      </c>
      <c r="AR53" s="24"/>
      <c r="AS53">
        <f t="shared" si="34"/>
        <v>1998</v>
      </c>
      <c r="AT53" s="39" t="b">
        <f t="shared" si="35"/>
        <v>0</v>
      </c>
      <c r="AU53" s="1" t="b">
        <f t="shared" si="36"/>
        <v>1</v>
      </c>
      <c r="AY53" s="1" t="b">
        <f t="shared" ref="AY53:AY75" si="47">AND((X53/$Z53)&gt;0.1,(X53/$Z53)&lt;0.2)</f>
        <v>1</v>
      </c>
      <c r="AZ53" s="1" t="b">
        <f t="shared" si="38"/>
        <v>1</v>
      </c>
      <c r="BA53" s="1" t="b">
        <f t="shared" si="39"/>
        <v>1</v>
      </c>
      <c r="BC53">
        <f t="shared" si="40"/>
        <v>1998</v>
      </c>
      <c r="BD53" s="40">
        <f>$BK53*BD$42</f>
        <v>52109.390200437912</v>
      </c>
      <c r="BE53" s="40">
        <f>$BK53*BE$42</f>
        <v>65136.737750547385</v>
      </c>
      <c r="BF53" s="2"/>
      <c r="BG53" s="2"/>
      <c r="BH53" s="2"/>
      <c r="BI53" s="40">
        <f>$BK53*BI$42</f>
        <v>39082.042650328433</v>
      </c>
      <c r="BJ53" s="40">
        <f>$BK53*BJ$42</f>
        <v>104218.78040087582</v>
      </c>
      <c r="BK53" s="2">
        <f t="shared" si="43"/>
        <v>260546.95100218954</v>
      </c>
      <c r="BL53" s="2">
        <f t="shared" si="44"/>
        <v>0</v>
      </c>
      <c r="BM53" s="2"/>
    </row>
    <row r="54" spans="1:65" x14ac:dyDescent="0.2">
      <c r="A54">
        <f t="shared" si="8"/>
        <v>1999</v>
      </c>
      <c r="B54" s="2">
        <f t="shared" ref="B54:B69" si="48">BD53*(1+(B15/100))</f>
        <v>63088.838715670187</v>
      </c>
      <c r="C54" s="2"/>
      <c r="D54" s="2">
        <f>($BE53*0.6)*(1+(D15/100))</f>
        <v>45069.02076393224</v>
      </c>
      <c r="E54" s="2">
        <f>($BE53*0.4)*(1+(E15/100))</f>
        <v>32081.927717752609</v>
      </c>
      <c r="F54" s="2"/>
      <c r="G54" s="2">
        <f t="shared" si="46"/>
        <v>50774.998990880202</v>
      </c>
      <c r="H54" s="2">
        <f t="shared" si="14"/>
        <v>103426.71766982916</v>
      </c>
      <c r="I54" s="2">
        <f t="shared" si="45"/>
        <v>294441.50385806442</v>
      </c>
      <c r="J54" s="2">
        <f t="shared" si="15"/>
        <v>27684.927115368424</v>
      </c>
      <c r="K54" s="83">
        <f t="shared" si="16"/>
        <v>0.10378348475386356</v>
      </c>
      <c r="L54" s="7">
        <f t="shared" si="17"/>
        <v>1.1037834847538637</v>
      </c>
      <c r="N54">
        <f t="shared" si="18"/>
        <v>1999</v>
      </c>
      <c r="O54" s="2">
        <f t="shared" si="19"/>
        <v>6377.2856355001049</v>
      </c>
      <c r="P54" s="2"/>
      <c r="Q54" s="2"/>
      <c r="R54">
        <f t="shared" si="20"/>
        <v>1999</v>
      </c>
      <c r="S54" s="2">
        <f>B54-($O54/5)</f>
        <v>61813.381588570162</v>
      </c>
      <c r="T54" s="2"/>
      <c r="U54" s="2">
        <f>D54-($O54/5)</f>
        <v>43793.563636832216</v>
      </c>
      <c r="V54" s="2">
        <f>E54-($O54/5)</f>
        <v>30806.470590652589</v>
      </c>
      <c r="W54" s="2"/>
      <c r="X54" s="2">
        <f>G54-($O54/5)</f>
        <v>49499.541863780178</v>
      </c>
      <c r="Y54" s="2">
        <f>H54-($O54/5)</f>
        <v>102151.26054272914</v>
      </c>
      <c r="Z54" s="2">
        <f t="shared" si="23"/>
        <v>288064.21822256432</v>
      </c>
      <c r="AA54" s="2">
        <f t="shared" si="24"/>
        <v>27517.267220374779</v>
      </c>
      <c r="AB54" s="83">
        <f t="shared" si="25"/>
        <v>0.10561346856883208</v>
      </c>
      <c r="AC54" s="7">
        <f t="shared" si="26"/>
        <v>1.1056134685688321</v>
      </c>
      <c r="AD54" s="2">
        <f t="shared" si="27"/>
        <v>0</v>
      </c>
      <c r="AE54" s="2"/>
      <c r="AG54">
        <f t="shared" si="28"/>
        <v>1999</v>
      </c>
      <c r="AH54" s="6">
        <f t="shared" ref="AH54:AH67" si="49">S54/$Z54</f>
        <v>0.21458194971237934</v>
      </c>
      <c r="AI54" s="7"/>
      <c r="AJ54" s="6">
        <f t="shared" ref="AJ54:AJ67" si="50">U54/$Z54</f>
        <v>0.15202708585971067</v>
      </c>
      <c r="AK54" s="6">
        <f t="shared" ref="AK54:AK67" si="51">V54/$Z54</f>
        <v>0.10694306561480287</v>
      </c>
      <c r="AL54" s="7"/>
      <c r="AM54" s="6">
        <f t="shared" si="29"/>
        <v>0.17183509347049766</v>
      </c>
      <c r="AN54" s="6">
        <f t="shared" si="30"/>
        <v>0.35461280534260936</v>
      </c>
      <c r="AO54" s="6">
        <f t="shared" si="31"/>
        <v>1</v>
      </c>
      <c r="AP54" s="7">
        <f t="shared" si="32"/>
        <v>0.64538719465739058</v>
      </c>
      <c r="AQ54" s="7">
        <f t="shared" si="33"/>
        <v>0</v>
      </c>
      <c r="AR54" s="24"/>
      <c r="AS54">
        <f t="shared" si="34"/>
        <v>1999</v>
      </c>
      <c r="AT54" s="1" t="b">
        <f t="shared" si="35"/>
        <v>1</v>
      </c>
      <c r="AV54" s="1" t="b">
        <f>AND((U54/$Z54)&gt;0.1,(U54/$Z54)&lt;0.2)</f>
        <v>1</v>
      </c>
      <c r="AW54" s="1" t="b">
        <f>AND((V54/$Z54)&gt;0.05,(V54/$Z54)&lt;0.15)</f>
        <v>1</v>
      </c>
      <c r="AY54" s="1" t="b">
        <f t="shared" si="47"/>
        <v>1</v>
      </c>
      <c r="AZ54" s="1" t="b">
        <f t="shared" si="38"/>
        <v>1</v>
      </c>
      <c r="BA54" s="1" t="b">
        <f t="shared" si="39"/>
        <v>1</v>
      </c>
      <c r="BC54">
        <f t="shared" si="40"/>
        <v>1999</v>
      </c>
      <c r="BD54" s="2">
        <f t="shared" si="41"/>
        <v>61813.381588570162</v>
      </c>
      <c r="BE54" s="2"/>
      <c r="BF54" s="2">
        <f t="shared" ref="BF54" si="52">U54</f>
        <v>43793.563636832216</v>
      </c>
      <c r="BG54" s="2">
        <f t="shared" ref="BG54" si="53">V54</f>
        <v>30806.470590652589</v>
      </c>
      <c r="BH54" s="2"/>
      <c r="BI54" s="2">
        <f>X54</f>
        <v>49499.541863780178</v>
      </c>
      <c r="BJ54" s="2">
        <f t="shared" ref="BJ54:BJ56" si="54">Y54</f>
        <v>102151.26054272914</v>
      </c>
      <c r="BK54" s="2">
        <f t="shared" si="43"/>
        <v>288064.21822256432</v>
      </c>
      <c r="BL54" s="2">
        <f t="shared" si="44"/>
        <v>0</v>
      </c>
      <c r="BM54" s="2"/>
    </row>
    <row r="55" spans="1:65" x14ac:dyDescent="0.2">
      <c r="A55">
        <f t="shared" si="8"/>
        <v>2000</v>
      </c>
      <c r="B55" s="2">
        <f t="shared" si="48"/>
        <v>56213.089216645705</v>
      </c>
      <c r="C55" s="2"/>
      <c r="D55" s="2">
        <f t="shared" ref="D55:D69" si="55">BF54*(1+(D16/100))</f>
        <v>51719.322783826108</v>
      </c>
      <c r="E55" s="2">
        <f t="shared" ref="E55:E69" si="56">BG54*(1+(E16/100))</f>
        <v>29985.478149411698</v>
      </c>
      <c r="F55" s="2"/>
      <c r="G55" s="2">
        <f t="shared" si="46"/>
        <v>41770.683397169545</v>
      </c>
      <c r="H55" s="2">
        <f t="shared" si="14"/>
        <v>113786.289118546</v>
      </c>
      <c r="I55" s="2">
        <f t="shared" si="45"/>
        <v>293474.8626655991</v>
      </c>
      <c r="J55" s="2">
        <f t="shared" si="15"/>
        <v>-966.64119246532209</v>
      </c>
      <c r="K55" s="83">
        <f t="shared" si="16"/>
        <v>-3.2829651384041689E-3</v>
      </c>
      <c r="L55" s="7">
        <f t="shared" si="17"/>
        <v>0.9967170348615958</v>
      </c>
      <c r="N55">
        <f t="shared" si="18"/>
        <v>2000</v>
      </c>
      <c r="O55" s="2">
        <f t="shared" si="19"/>
        <v>6594.1133471071089</v>
      </c>
      <c r="P55" s="2"/>
      <c r="Q55" s="2"/>
      <c r="R55">
        <f t="shared" si="20"/>
        <v>2000</v>
      </c>
      <c r="S55" s="2">
        <f t="shared" ref="S55:S67" si="57">B55-($O55/5)</f>
        <v>54894.266547224281</v>
      </c>
      <c r="T55" s="2"/>
      <c r="U55" s="2">
        <f t="shared" ref="U55:V67" si="58">D55-($O55/5)</f>
        <v>50400.500114404684</v>
      </c>
      <c r="V55" s="2">
        <f t="shared" si="58"/>
        <v>28666.655479990277</v>
      </c>
      <c r="W55" s="2"/>
      <c r="X55" s="2">
        <f t="shared" ref="X55:Y67" si="59">G55-($O55/5)</f>
        <v>40451.860727748121</v>
      </c>
      <c r="Y55" s="2">
        <f t="shared" si="59"/>
        <v>112467.46644912458</v>
      </c>
      <c r="Z55" s="2">
        <f t="shared" si="23"/>
        <v>286880.7493184919</v>
      </c>
      <c r="AA55" s="2">
        <f t="shared" si="24"/>
        <v>-1183.4689040724188</v>
      </c>
      <c r="AB55" s="83">
        <f t="shared" si="25"/>
        <v>-4.1083509481835275E-3</v>
      </c>
      <c r="AC55" s="7">
        <f t="shared" si="26"/>
        <v>0.99589164905181649</v>
      </c>
      <c r="AD55" s="2">
        <f t="shared" si="27"/>
        <v>0</v>
      </c>
      <c r="AE55" s="2"/>
      <c r="AG55">
        <f t="shared" si="28"/>
        <v>2000</v>
      </c>
      <c r="AH55" s="6">
        <f t="shared" si="49"/>
        <v>0.19134872826995186</v>
      </c>
      <c r="AI55" s="7"/>
      <c r="AJ55" s="6">
        <f t="shared" si="50"/>
        <v>0.17568449690031518</v>
      </c>
      <c r="AK55" s="6">
        <f t="shared" si="51"/>
        <v>9.9925336740405907E-2</v>
      </c>
      <c r="AL55" s="7"/>
      <c r="AM55" s="6">
        <f t="shared" si="29"/>
        <v>0.14100583892033447</v>
      </c>
      <c r="AN55" s="6">
        <f t="shared" si="30"/>
        <v>0.39203559916899272</v>
      </c>
      <c r="AO55" s="6">
        <f t="shared" si="31"/>
        <v>1.0000000000000002</v>
      </c>
      <c r="AP55" s="7">
        <f t="shared" si="32"/>
        <v>0.60796440083100745</v>
      </c>
      <c r="AQ55" s="7">
        <f t="shared" si="33"/>
        <v>0</v>
      </c>
      <c r="AR55" s="24"/>
      <c r="AS55">
        <f t="shared" si="34"/>
        <v>2000</v>
      </c>
      <c r="AT55" s="1" t="b">
        <f t="shared" si="35"/>
        <v>1</v>
      </c>
      <c r="AV55" s="1" t="b">
        <f t="shared" ref="AV55:AV75" si="60">AND((U55/$Z55)&gt;0.1,(U55/$Z55)&lt;0.2)</f>
        <v>1</v>
      </c>
      <c r="AW55" s="1" t="b">
        <f t="shared" ref="AW55:AW67" si="61">AND((V55/$Z55)&gt;0.05,(V55/$Z55)&lt;0.15)</f>
        <v>1</v>
      </c>
      <c r="AY55" s="1" t="b">
        <f t="shared" si="47"/>
        <v>1</v>
      </c>
      <c r="AZ55" s="1" t="b">
        <f t="shared" si="38"/>
        <v>1</v>
      </c>
      <c r="BA55" s="1" t="b">
        <f t="shared" si="39"/>
        <v>1</v>
      </c>
      <c r="BC55">
        <f t="shared" si="40"/>
        <v>2000</v>
      </c>
      <c r="BD55" s="2">
        <f t="shared" si="41"/>
        <v>54894.266547224281</v>
      </c>
      <c r="BE55" s="2"/>
      <c r="BF55" s="2">
        <f t="shared" ref="BF55:BF67" si="62">U55</f>
        <v>50400.500114404684</v>
      </c>
      <c r="BG55" s="2">
        <f t="shared" ref="BG55:BG67" si="63">V55</f>
        <v>28666.655479990277</v>
      </c>
      <c r="BH55" s="2"/>
      <c r="BI55" s="2">
        <f>X55</f>
        <v>40451.860727748121</v>
      </c>
      <c r="BJ55" s="2">
        <f t="shared" si="54"/>
        <v>112467.46644912458</v>
      </c>
      <c r="BK55" s="2">
        <f t="shared" si="43"/>
        <v>286880.7493184919</v>
      </c>
      <c r="BL55" s="2">
        <f t="shared" si="44"/>
        <v>0</v>
      </c>
      <c r="BM55" s="2"/>
    </row>
    <row r="56" spans="1:65" x14ac:dyDescent="0.2">
      <c r="A56">
        <f t="shared" si="8"/>
        <v>2001</v>
      </c>
      <c r="B56" s="2">
        <f t="shared" si="48"/>
        <v>48295.975708247926</v>
      </c>
      <c r="C56" s="2"/>
      <c r="D56" s="2">
        <f t="shared" si="55"/>
        <v>50149.001618833805</v>
      </c>
      <c r="E56" s="2">
        <f t="shared" si="56"/>
        <v>29555.321799869973</v>
      </c>
      <c r="F56" s="2"/>
      <c r="G56" s="2">
        <f t="shared" si="46"/>
        <v>32299.597235285044</v>
      </c>
      <c r="H56" s="2">
        <f t="shared" si="14"/>
        <v>121948.47387078579</v>
      </c>
      <c r="I56" s="2">
        <f t="shared" si="45"/>
        <v>282248.37023302249</v>
      </c>
      <c r="J56" s="2">
        <f t="shared" si="15"/>
        <v>-11226.492432576604</v>
      </c>
      <c r="K56" s="83">
        <f t="shared" si="16"/>
        <v>-3.8253676415784435E-2</v>
      </c>
      <c r="L56" s="7">
        <f t="shared" si="17"/>
        <v>0.96174632358421552</v>
      </c>
      <c r="N56">
        <f t="shared" si="18"/>
        <v>2001</v>
      </c>
      <c r="O56" s="2">
        <f t="shared" si="19"/>
        <v>6699.6191606608227</v>
      </c>
      <c r="P56" s="2"/>
      <c r="Q56" s="2"/>
      <c r="R56">
        <f t="shared" si="20"/>
        <v>2001</v>
      </c>
      <c r="S56" s="2">
        <f t="shared" si="57"/>
        <v>46956.051876115758</v>
      </c>
      <c r="T56" s="2"/>
      <c r="U56" s="2">
        <f t="shared" si="58"/>
        <v>48809.077786701644</v>
      </c>
      <c r="V56" s="2">
        <f t="shared" si="58"/>
        <v>28215.397967737808</v>
      </c>
      <c r="W56" s="2"/>
      <c r="X56" s="2">
        <f t="shared" si="59"/>
        <v>30959.673403152879</v>
      </c>
      <c r="Y56" s="2">
        <f t="shared" si="59"/>
        <v>120608.55003865363</v>
      </c>
      <c r="Z56" s="2">
        <f t="shared" si="23"/>
        <v>275548.75107236172</v>
      </c>
      <c r="AA56" s="2">
        <f t="shared" si="24"/>
        <v>-11331.998246130184</v>
      </c>
      <c r="AB56" s="83">
        <f t="shared" si="25"/>
        <v>-3.9500727298887255E-2</v>
      </c>
      <c r="AC56" s="7">
        <f t="shared" si="26"/>
        <v>0.96049927270111279</v>
      </c>
      <c r="AD56" s="2">
        <f t="shared" si="27"/>
        <v>0</v>
      </c>
      <c r="AE56" s="2"/>
      <c r="AG56">
        <f t="shared" si="28"/>
        <v>2001</v>
      </c>
      <c r="AH56" s="6">
        <f t="shared" si="49"/>
        <v>0.17040923500242849</v>
      </c>
      <c r="AI56" s="7"/>
      <c r="AJ56" s="6">
        <f t="shared" si="50"/>
        <v>0.17713409186849813</v>
      </c>
      <c r="AK56" s="6">
        <f t="shared" si="51"/>
        <v>0.10239711796163495</v>
      </c>
      <c r="AL56" s="7"/>
      <c r="AM56" s="6">
        <f t="shared" si="29"/>
        <v>0.11235642797387449</v>
      </c>
      <c r="AN56" s="59">
        <f t="shared" si="30"/>
        <v>0.43770312719356397</v>
      </c>
      <c r="AO56" s="6">
        <f t="shared" si="31"/>
        <v>1</v>
      </c>
      <c r="AP56" s="7">
        <f t="shared" si="32"/>
        <v>0.56229687280643603</v>
      </c>
      <c r="AQ56" s="7">
        <f t="shared" si="33"/>
        <v>0</v>
      </c>
      <c r="AR56" s="24"/>
      <c r="AS56">
        <f t="shared" si="34"/>
        <v>2001</v>
      </c>
      <c r="AT56" s="1" t="b">
        <f t="shared" si="35"/>
        <v>1</v>
      </c>
      <c r="AV56" s="1" t="b">
        <f t="shared" si="60"/>
        <v>1</v>
      </c>
      <c r="AW56" s="1" t="b">
        <f t="shared" si="61"/>
        <v>1</v>
      </c>
      <c r="AY56" s="1" t="b">
        <f t="shared" si="47"/>
        <v>1</v>
      </c>
      <c r="AZ56" s="1" t="b">
        <f t="shared" si="38"/>
        <v>1</v>
      </c>
      <c r="BA56" s="1" t="b">
        <f t="shared" si="39"/>
        <v>1</v>
      </c>
      <c r="BC56">
        <f t="shared" si="40"/>
        <v>2001</v>
      </c>
      <c r="BD56" s="2">
        <f t="shared" si="41"/>
        <v>46956.051876115758</v>
      </c>
      <c r="BE56" s="2"/>
      <c r="BF56" s="2">
        <f t="shared" si="62"/>
        <v>48809.077786701644</v>
      </c>
      <c r="BG56" s="2">
        <f t="shared" si="63"/>
        <v>28215.397967737808</v>
      </c>
      <c r="BH56" s="2"/>
      <c r="BI56" s="2">
        <f>X56</f>
        <v>30959.673403152879</v>
      </c>
      <c r="BJ56" s="2">
        <f t="shared" si="54"/>
        <v>120608.55003865363</v>
      </c>
      <c r="BK56" s="2">
        <f t="shared" si="43"/>
        <v>275548.75107236172</v>
      </c>
      <c r="BL56" s="2">
        <f t="shared" si="44"/>
        <v>0</v>
      </c>
      <c r="BM56" s="2"/>
    </row>
    <row r="57" spans="1:65" x14ac:dyDescent="0.2">
      <c r="A57">
        <f t="shared" si="8"/>
        <v>2002</v>
      </c>
      <c r="B57" s="2">
        <f t="shared" si="48"/>
        <v>36555.286385556115</v>
      </c>
      <c r="C57" s="2"/>
      <c r="D57" s="2">
        <f t="shared" si="55"/>
        <v>41679.047703620272</v>
      </c>
      <c r="E57" s="2">
        <f t="shared" si="56"/>
        <v>22566.110986637344</v>
      </c>
      <c r="F57" s="2"/>
      <c r="G57" s="2">
        <f t="shared" si="46"/>
        <v>26290.025863755331</v>
      </c>
      <c r="H57" s="2">
        <f t="shared" si="14"/>
        <v>130570.81627184642</v>
      </c>
      <c r="I57" s="2">
        <f t="shared" si="45"/>
        <v>257661.28721141547</v>
      </c>
      <c r="J57" s="2">
        <f t="shared" si="15"/>
        <v>-24587.083021607017</v>
      </c>
      <c r="K57" s="83">
        <f t="shared" si="16"/>
        <v>-8.7111514590174868E-2</v>
      </c>
      <c r="L57" s="7">
        <f t="shared" si="17"/>
        <v>0.91288848540982515</v>
      </c>
      <c r="N57">
        <f t="shared" si="18"/>
        <v>2002</v>
      </c>
      <c r="O57" s="2">
        <f t="shared" si="19"/>
        <v>6867.1096396773428</v>
      </c>
      <c r="P57" s="2"/>
      <c r="Q57" s="2"/>
      <c r="R57">
        <f t="shared" si="20"/>
        <v>2002</v>
      </c>
      <c r="S57" s="2">
        <f t="shared" si="57"/>
        <v>35181.86445762065</v>
      </c>
      <c r="T57" s="2"/>
      <c r="U57" s="2">
        <f t="shared" si="58"/>
        <v>40305.625775684806</v>
      </c>
      <c r="V57" s="2">
        <f t="shared" si="58"/>
        <v>21192.689058701875</v>
      </c>
      <c r="W57" s="2"/>
      <c r="X57" s="2">
        <f t="shared" si="59"/>
        <v>24916.603935819861</v>
      </c>
      <c r="Y57" s="2">
        <f t="shared" si="59"/>
        <v>129197.39434391094</v>
      </c>
      <c r="Z57" s="2">
        <f t="shared" si="23"/>
        <v>250794.17757173814</v>
      </c>
      <c r="AA57" s="2">
        <f t="shared" si="24"/>
        <v>-24754.573500623577</v>
      </c>
      <c r="AB57" s="83">
        <f t="shared" si="25"/>
        <v>-8.9837364184324656E-2</v>
      </c>
      <c r="AC57" s="7">
        <f t="shared" si="26"/>
        <v>0.91016263581567536</v>
      </c>
      <c r="AD57" s="2">
        <f t="shared" si="27"/>
        <v>0</v>
      </c>
      <c r="AE57" s="2"/>
      <c r="AG57">
        <f t="shared" si="28"/>
        <v>2002</v>
      </c>
      <c r="AH57" s="38">
        <f t="shared" si="49"/>
        <v>0.14028182311990514</v>
      </c>
      <c r="AI57" s="7"/>
      <c r="AJ57" s="6">
        <f t="shared" si="50"/>
        <v>0.16071196774157817</v>
      </c>
      <c r="AK57" s="6">
        <f t="shared" si="51"/>
        <v>8.4502316855581058E-2</v>
      </c>
      <c r="AL57" s="7"/>
      <c r="AM57" s="38">
        <f t="shared" si="29"/>
        <v>9.93508070126254E-2</v>
      </c>
      <c r="AN57" s="38">
        <f t="shared" si="30"/>
        <v>0.51515308527031023</v>
      </c>
      <c r="AO57" s="6">
        <f t="shared" si="31"/>
        <v>1</v>
      </c>
      <c r="AP57" s="7">
        <f t="shared" si="32"/>
        <v>0.48484691472968977</v>
      </c>
      <c r="AQ57" s="7">
        <f t="shared" si="33"/>
        <v>0</v>
      </c>
      <c r="AR57" s="24"/>
      <c r="AS57">
        <f t="shared" si="34"/>
        <v>2002</v>
      </c>
      <c r="AT57" s="39" t="b">
        <f t="shared" si="35"/>
        <v>0</v>
      </c>
      <c r="AV57" s="1" t="b">
        <f t="shared" si="60"/>
        <v>1</v>
      </c>
      <c r="AW57" s="1" t="b">
        <f t="shared" si="61"/>
        <v>1</v>
      </c>
      <c r="AY57" s="39" t="b">
        <f t="shared" si="47"/>
        <v>0</v>
      </c>
      <c r="AZ57" s="39" t="b">
        <f t="shared" si="38"/>
        <v>0</v>
      </c>
      <c r="BA57" s="1" t="b">
        <f t="shared" si="39"/>
        <v>1</v>
      </c>
      <c r="BC57">
        <f t="shared" si="40"/>
        <v>2002</v>
      </c>
      <c r="BD57" s="40">
        <f>$BK57*BD$42</f>
        <v>50158.835514347629</v>
      </c>
      <c r="BE57" s="2"/>
      <c r="BF57" s="40">
        <f t="shared" ref="BF57:BG58" si="64">$BK57*BF$42</f>
        <v>37619.126635760716</v>
      </c>
      <c r="BG57" s="40">
        <f t="shared" si="64"/>
        <v>25079.417757173815</v>
      </c>
      <c r="BH57" s="2"/>
      <c r="BI57" s="40">
        <f>$BK57*BI$42</f>
        <v>37619.126635760716</v>
      </c>
      <c r="BJ57" s="40">
        <f t="shared" ref="BJ57:BJ58" si="65">$BK57*BJ$42</f>
        <v>100317.67102869526</v>
      </c>
      <c r="BK57" s="2">
        <f t="shared" si="43"/>
        <v>250794.17757173814</v>
      </c>
      <c r="BL57" s="2">
        <f t="shared" si="44"/>
        <v>0</v>
      </c>
      <c r="BM57" s="2"/>
    </row>
    <row r="58" spans="1:65" x14ac:dyDescent="0.2">
      <c r="A58">
        <f t="shared" si="8"/>
        <v>2003</v>
      </c>
      <c r="B58" s="2">
        <f t="shared" si="48"/>
        <v>64454.103635936699</v>
      </c>
      <c r="C58" s="2"/>
      <c r="D58" s="2">
        <f t="shared" si="55"/>
        <v>50463.04885174214</v>
      </c>
      <c r="E58" s="2">
        <f t="shared" si="56"/>
        <v>36522.654491417081</v>
      </c>
      <c r="F58" s="2"/>
      <c r="G58" s="2">
        <f t="shared" si="46"/>
        <v>52794.682320626591</v>
      </c>
      <c r="H58" s="2">
        <f t="shared" si="14"/>
        <v>104300.28256853447</v>
      </c>
      <c r="I58" s="2">
        <f t="shared" si="45"/>
        <v>308534.77186825697</v>
      </c>
      <c r="J58" s="2">
        <f t="shared" si="15"/>
        <v>50873.484656841494</v>
      </c>
      <c r="K58" s="83">
        <f t="shared" si="16"/>
        <v>0.1974432605201531</v>
      </c>
      <c r="L58" s="7">
        <f t="shared" si="17"/>
        <v>1.197443260520153</v>
      </c>
      <c r="N58">
        <f t="shared" si="18"/>
        <v>2003</v>
      </c>
      <c r="O58" s="2">
        <f t="shared" si="19"/>
        <v>7004.4518324708897</v>
      </c>
      <c r="P58" s="2"/>
      <c r="Q58" s="2"/>
      <c r="R58">
        <f t="shared" si="20"/>
        <v>2003</v>
      </c>
      <c r="S58" s="2">
        <f t="shared" si="57"/>
        <v>63053.213269442524</v>
      </c>
      <c r="T58" s="2"/>
      <c r="U58" s="2">
        <f t="shared" si="58"/>
        <v>49062.158485247965</v>
      </c>
      <c r="V58" s="2">
        <f t="shared" si="58"/>
        <v>35121.764124922905</v>
      </c>
      <c r="W58" s="2"/>
      <c r="X58" s="2">
        <f t="shared" si="59"/>
        <v>51393.791954132415</v>
      </c>
      <c r="Y58" s="2">
        <f t="shared" si="59"/>
        <v>102899.3922020403</v>
      </c>
      <c r="Z58" s="2">
        <f t="shared" si="23"/>
        <v>301530.32003578614</v>
      </c>
      <c r="AA58" s="2">
        <f t="shared" si="24"/>
        <v>50736.142464047996</v>
      </c>
      <c r="AB58" s="83">
        <f t="shared" si="25"/>
        <v>0.20230191528084912</v>
      </c>
      <c r="AC58" s="7">
        <f t="shared" si="26"/>
        <v>1.2023019152808492</v>
      </c>
      <c r="AD58" s="2">
        <f t="shared" si="27"/>
        <v>0</v>
      </c>
      <c r="AE58" s="2"/>
      <c r="AG58">
        <f t="shared" si="28"/>
        <v>2003</v>
      </c>
      <c r="AH58" s="6">
        <f t="shared" si="49"/>
        <v>0.20911068996961651</v>
      </c>
      <c r="AI58" s="7"/>
      <c r="AJ58" s="6">
        <f t="shared" si="50"/>
        <v>0.16271053099875721</v>
      </c>
      <c r="AK58" s="6">
        <f t="shared" si="51"/>
        <v>0.11647838307190665</v>
      </c>
      <c r="AL58" s="7"/>
      <c r="AM58" s="6">
        <f t="shared" si="29"/>
        <v>0.17044319771236574</v>
      </c>
      <c r="AN58" s="38">
        <f t="shared" si="30"/>
        <v>0.34125719824735379</v>
      </c>
      <c r="AO58" s="6">
        <f t="shared" si="31"/>
        <v>0.99999999999999989</v>
      </c>
      <c r="AP58" s="7">
        <f t="shared" si="32"/>
        <v>0.6587428017526461</v>
      </c>
      <c r="AQ58" s="7">
        <f t="shared" si="33"/>
        <v>0</v>
      </c>
      <c r="AR58" s="24"/>
      <c r="AS58">
        <f t="shared" si="34"/>
        <v>2003</v>
      </c>
      <c r="AT58" s="1" t="b">
        <f t="shared" si="35"/>
        <v>1</v>
      </c>
      <c r="AV58" s="1" t="b">
        <f t="shared" si="60"/>
        <v>1</v>
      </c>
      <c r="AW58" s="1" t="b">
        <f t="shared" si="61"/>
        <v>1</v>
      </c>
      <c r="AY58" s="1" t="b">
        <f t="shared" si="47"/>
        <v>1</v>
      </c>
      <c r="AZ58" s="39" t="b">
        <f t="shared" si="38"/>
        <v>0</v>
      </c>
      <c r="BA58" s="1" t="b">
        <f t="shared" si="39"/>
        <v>1</v>
      </c>
      <c r="BC58">
        <f t="shared" si="40"/>
        <v>2003</v>
      </c>
      <c r="BD58" s="40">
        <f>$BK58*BD$42</f>
        <v>60306.064007157227</v>
      </c>
      <c r="BE58" s="2"/>
      <c r="BF58" s="40">
        <f t="shared" si="64"/>
        <v>45229.54800536792</v>
      </c>
      <c r="BG58" s="40">
        <f t="shared" si="64"/>
        <v>30153.032003578614</v>
      </c>
      <c r="BH58" s="2"/>
      <c r="BI58" s="40">
        <f>$BK58*BI$42</f>
        <v>45229.54800536792</v>
      </c>
      <c r="BJ58" s="40">
        <f t="shared" si="65"/>
        <v>120612.12801431445</v>
      </c>
      <c r="BK58" s="2">
        <f t="shared" si="43"/>
        <v>301530.32003578614</v>
      </c>
      <c r="BL58" s="2">
        <f t="shared" si="44"/>
        <v>0</v>
      </c>
      <c r="BM58" s="2"/>
    </row>
    <row r="59" spans="1:65" x14ac:dyDescent="0.2">
      <c r="A59">
        <f t="shared" si="8"/>
        <v>2004</v>
      </c>
      <c r="B59" s="2">
        <f t="shared" si="48"/>
        <v>66782.935281525904</v>
      </c>
      <c r="C59" s="2"/>
      <c r="D59" s="2">
        <f t="shared" si="55"/>
        <v>54435.117910900452</v>
      </c>
      <c r="E59" s="2">
        <f t="shared" si="56"/>
        <v>36152.580781330653</v>
      </c>
      <c r="F59" s="2"/>
      <c r="G59" s="2">
        <f t="shared" si="46"/>
        <v>54654.028923246435</v>
      </c>
      <c r="H59" s="2">
        <f t="shared" si="14"/>
        <v>125726.08224212138</v>
      </c>
      <c r="I59" s="2">
        <f t="shared" si="45"/>
        <v>337750.7451391248</v>
      </c>
      <c r="J59" s="2">
        <f>I59-I58</f>
        <v>29215.973270867835</v>
      </c>
      <c r="K59" s="83">
        <f>(J59/I58)</f>
        <v>9.4692643859742756E-2</v>
      </c>
      <c r="L59" s="7">
        <f t="shared" si="17"/>
        <v>1.0946926438597429</v>
      </c>
      <c r="N59">
        <f t="shared" si="18"/>
        <v>2004</v>
      </c>
      <c r="O59" s="2">
        <f t="shared" si="19"/>
        <v>7235.5987429424285</v>
      </c>
      <c r="P59" s="2"/>
      <c r="Q59" s="2"/>
      <c r="R59">
        <f t="shared" si="20"/>
        <v>2004</v>
      </c>
      <c r="S59" s="2">
        <f t="shared" si="57"/>
        <v>65335.81553293742</v>
      </c>
      <c r="T59" s="2"/>
      <c r="U59" s="2">
        <f t="shared" si="58"/>
        <v>52987.998162311967</v>
      </c>
      <c r="V59" s="2">
        <f t="shared" si="58"/>
        <v>34705.461032742169</v>
      </c>
      <c r="W59" s="2"/>
      <c r="X59" s="2">
        <f t="shared" si="59"/>
        <v>53206.909174657951</v>
      </c>
      <c r="Y59" s="2">
        <f t="shared" si="59"/>
        <v>124278.96249353289</v>
      </c>
      <c r="Z59" s="2">
        <f t="shared" si="23"/>
        <v>330515.14639618236</v>
      </c>
      <c r="AA59" s="2">
        <f>Z59-Z58</f>
        <v>28984.826360396226</v>
      </c>
      <c r="AB59" s="83">
        <f>(AA59/Z58)</f>
        <v>9.6125744027851845E-2</v>
      </c>
      <c r="AC59" s="7">
        <f t="shared" si="26"/>
        <v>1.0961257440278518</v>
      </c>
      <c r="AD59" s="2">
        <f t="shared" si="27"/>
        <v>0</v>
      </c>
      <c r="AE59" s="2"/>
      <c r="AG59">
        <f t="shared" si="28"/>
        <v>2004</v>
      </c>
      <c r="AH59" s="6">
        <f t="shared" si="49"/>
        <v>0.19767873347208298</v>
      </c>
      <c r="AI59" s="7"/>
      <c r="AJ59" s="6">
        <f t="shared" si="50"/>
        <v>0.16031942481327691</v>
      </c>
      <c r="AK59" s="6">
        <f t="shared" si="51"/>
        <v>0.10500414704487213</v>
      </c>
      <c r="AL59" s="7"/>
      <c r="AM59" s="6">
        <f t="shared" si="29"/>
        <v>0.16098175758299385</v>
      </c>
      <c r="AN59" s="6">
        <f t="shared" si="30"/>
        <v>0.37601593708677428</v>
      </c>
      <c r="AO59" s="6">
        <f t="shared" si="31"/>
        <v>1</v>
      </c>
      <c r="AP59" s="7">
        <f t="shared" si="32"/>
        <v>0.62398406291322583</v>
      </c>
      <c r="AQ59" s="7">
        <f t="shared" si="33"/>
        <v>0</v>
      </c>
      <c r="AR59" s="24"/>
      <c r="AS59">
        <f t="shared" si="34"/>
        <v>2004</v>
      </c>
      <c r="AT59" s="1" t="b">
        <f t="shared" si="35"/>
        <v>1</v>
      </c>
      <c r="AV59" s="1" t="b">
        <f t="shared" si="60"/>
        <v>1</v>
      </c>
      <c r="AW59" s="1" t="b">
        <f t="shared" si="61"/>
        <v>1</v>
      </c>
      <c r="AY59" s="1" t="b">
        <f t="shared" si="47"/>
        <v>1</v>
      </c>
      <c r="AZ59" s="1" t="b">
        <f t="shared" si="38"/>
        <v>1</v>
      </c>
      <c r="BA59" s="1" t="b">
        <f t="shared" si="39"/>
        <v>1</v>
      </c>
      <c r="BC59">
        <f t="shared" si="40"/>
        <v>2004</v>
      </c>
      <c r="BD59" s="2">
        <f t="shared" si="41"/>
        <v>65335.81553293742</v>
      </c>
      <c r="BE59" s="2"/>
      <c r="BF59" s="2">
        <f t="shared" si="62"/>
        <v>52987.998162311967</v>
      </c>
      <c r="BG59" s="2">
        <f t="shared" si="63"/>
        <v>34705.461032742169</v>
      </c>
      <c r="BH59" s="2"/>
      <c r="BI59" s="2">
        <f>X59</f>
        <v>53206.909174657951</v>
      </c>
      <c r="BJ59" s="2">
        <f>Y59</f>
        <v>124278.96249353289</v>
      </c>
      <c r="BK59" s="2">
        <f t="shared" si="43"/>
        <v>330515.14639618236</v>
      </c>
      <c r="BL59" s="2">
        <f t="shared" si="44"/>
        <v>0</v>
      </c>
      <c r="BM59" s="2"/>
    </row>
    <row r="60" spans="1:65" x14ac:dyDescent="0.2">
      <c r="A60">
        <f t="shared" si="8"/>
        <v>2005</v>
      </c>
      <c r="B60" s="2">
        <f t="shared" si="48"/>
        <v>68452.333933858536</v>
      </c>
      <c r="C60" s="2"/>
      <c r="D60" s="2">
        <f t="shared" si="55"/>
        <v>60369.756186303654</v>
      </c>
      <c r="E60" s="2">
        <f t="shared" si="56"/>
        <v>37260.824128582979</v>
      </c>
      <c r="F60" s="2"/>
      <c r="G60" s="2">
        <f t="shared" si="46"/>
        <v>61491.757002243939</v>
      </c>
      <c r="H60" s="2">
        <f t="shared" si="14"/>
        <v>127261.65759337768</v>
      </c>
      <c r="I60" s="2">
        <f t="shared" si="45"/>
        <v>354836.32884436677</v>
      </c>
      <c r="J60" s="2">
        <f t="shared" si="15"/>
        <v>17085.583705241967</v>
      </c>
      <c r="K60" s="83">
        <f t="shared" si="16"/>
        <v>5.0586368649472996E-2</v>
      </c>
      <c r="L60" s="7">
        <f t="shared" si="17"/>
        <v>1.050586368649473</v>
      </c>
      <c r="N60">
        <f t="shared" si="18"/>
        <v>2005</v>
      </c>
      <c r="O60" s="2">
        <f t="shared" si="19"/>
        <v>7474.3735014595277</v>
      </c>
      <c r="P60" s="2"/>
      <c r="Q60" s="2"/>
      <c r="R60">
        <f t="shared" si="20"/>
        <v>2005</v>
      </c>
      <c r="S60" s="2">
        <f t="shared" si="57"/>
        <v>66957.459233566624</v>
      </c>
      <c r="T60" s="2"/>
      <c r="U60" s="2">
        <f t="shared" si="58"/>
        <v>58874.881486011749</v>
      </c>
      <c r="V60" s="2">
        <f t="shared" si="58"/>
        <v>35765.949428291075</v>
      </c>
      <c r="W60" s="2"/>
      <c r="X60" s="2">
        <f t="shared" si="59"/>
        <v>59996.882301952035</v>
      </c>
      <c r="Y60" s="2">
        <f t="shared" si="59"/>
        <v>125766.78289308576</v>
      </c>
      <c r="Z60" s="2">
        <f t="shared" si="23"/>
        <v>347361.95534290723</v>
      </c>
      <c r="AA60" s="2">
        <f t="shared" ref="AA60:AA67" si="66">Z60-Z59</f>
        <v>16846.808946724865</v>
      </c>
      <c r="AB60" s="83">
        <f t="shared" ref="AB60:AB67" si="67">(AA60/Z59)</f>
        <v>5.0971367365206639E-2</v>
      </c>
      <c r="AC60" s="7">
        <f t="shared" si="26"/>
        <v>1.0509713673652066</v>
      </c>
      <c r="AD60" s="2">
        <f t="shared" si="27"/>
        <v>0</v>
      </c>
      <c r="AE60" s="2"/>
      <c r="AG60">
        <f t="shared" si="28"/>
        <v>2005</v>
      </c>
      <c r="AH60" s="6">
        <f t="shared" si="49"/>
        <v>0.19275990995464043</v>
      </c>
      <c r="AI60" s="7"/>
      <c r="AJ60" s="6">
        <f t="shared" si="50"/>
        <v>0.16949145000030849</v>
      </c>
      <c r="AK60" s="6">
        <f t="shared" si="51"/>
        <v>0.10296449820759387</v>
      </c>
      <c r="AL60" s="7"/>
      <c r="AM60" s="6">
        <f t="shared" ref="AM60:AM67" si="68">X60/$Z60</f>
        <v>0.17272151247169421</v>
      </c>
      <c r="AN60" s="6">
        <f t="shared" si="30"/>
        <v>0.36206262936576306</v>
      </c>
      <c r="AO60" s="6">
        <f t="shared" si="31"/>
        <v>1</v>
      </c>
      <c r="AP60" s="7">
        <f t="shared" si="32"/>
        <v>0.63793737063423706</v>
      </c>
      <c r="AQ60" s="7">
        <f t="shared" si="33"/>
        <v>0</v>
      </c>
      <c r="AR60" s="24"/>
      <c r="AS60">
        <f t="shared" si="34"/>
        <v>2005</v>
      </c>
      <c r="AT60" s="1" t="b">
        <f t="shared" si="35"/>
        <v>1</v>
      </c>
      <c r="AV60" s="1" t="b">
        <f t="shared" si="60"/>
        <v>1</v>
      </c>
      <c r="AW60" s="1" t="b">
        <f t="shared" si="61"/>
        <v>1</v>
      </c>
      <c r="AY60" s="1" t="b">
        <f t="shared" si="47"/>
        <v>1</v>
      </c>
      <c r="AZ60" s="1" t="b">
        <f t="shared" si="38"/>
        <v>1</v>
      </c>
      <c r="BA60" s="1" t="b">
        <f t="shared" si="39"/>
        <v>1</v>
      </c>
      <c r="BC60">
        <f t="shared" si="40"/>
        <v>2005</v>
      </c>
      <c r="BD60" s="2">
        <f t="shared" si="41"/>
        <v>66957.459233566624</v>
      </c>
      <c r="BE60" s="2"/>
      <c r="BF60" s="2">
        <f t="shared" si="62"/>
        <v>58874.881486011749</v>
      </c>
      <c r="BG60" s="2">
        <f t="shared" si="63"/>
        <v>35765.949428291075</v>
      </c>
      <c r="BH60" s="2"/>
      <c r="BI60" s="2">
        <f>X60</f>
        <v>59996.882301952035</v>
      </c>
      <c r="BJ60" s="2">
        <f>Y60</f>
        <v>125766.78289308576</v>
      </c>
      <c r="BK60" s="2">
        <f t="shared" si="43"/>
        <v>347361.95534290723</v>
      </c>
      <c r="BL60" s="2">
        <f t="shared" si="44"/>
        <v>0</v>
      </c>
      <c r="BM60" s="2"/>
    </row>
    <row r="61" spans="1:65" x14ac:dyDescent="0.2">
      <c r="A61">
        <f t="shared" si="8"/>
        <v>2006</v>
      </c>
      <c r="B61" s="2">
        <f t="shared" si="48"/>
        <v>77429.605857696457</v>
      </c>
      <c r="C61" s="2"/>
      <c r="D61" s="2">
        <f t="shared" si="55"/>
        <v>66880.099121664767</v>
      </c>
      <c r="E61" s="2">
        <f t="shared" si="56"/>
        <v>41365.466470784326</v>
      </c>
      <c r="F61" s="2"/>
      <c r="G61" s="2">
        <f t="shared" si="46"/>
        <v>75978.251840722995</v>
      </c>
      <c r="H61" s="2">
        <f t="shared" si="14"/>
        <v>131137.02452262052</v>
      </c>
      <c r="I61" s="2">
        <f t="shared" si="45"/>
        <v>392790.44781348901</v>
      </c>
      <c r="J61" s="2">
        <f t="shared" si="15"/>
        <v>37954.118969122239</v>
      </c>
      <c r="K61" s="83">
        <f t="shared" si="16"/>
        <v>0.1069623256804946</v>
      </c>
      <c r="L61" s="7">
        <f t="shared" si="17"/>
        <v>1.1069623256804946</v>
      </c>
      <c r="N61">
        <f t="shared" si="18"/>
        <v>2006</v>
      </c>
      <c r="O61" s="2">
        <f t="shared" si="19"/>
        <v>7661.2328389960148</v>
      </c>
      <c r="P61" s="2"/>
      <c r="Q61" s="2"/>
      <c r="R61">
        <f t="shared" si="20"/>
        <v>2006</v>
      </c>
      <c r="S61" s="2">
        <f t="shared" si="57"/>
        <v>75897.359289897257</v>
      </c>
      <c r="T61" s="2"/>
      <c r="U61" s="2">
        <f t="shared" si="58"/>
        <v>65347.852553865567</v>
      </c>
      <c r="V61" s="2">
        <f t="shared" si="58"/>
        <v>39833.219902985125</v>
      </c>
      <c r="W61" s="2"/>
      <c r="X61" s="2">
        <f t="shared" si="59"/>
        <v>74446.005272923794</v>
      </c>
      <c r="Y61" s="2">
        <f t="shared" si="59"/>
        <v>129604.77795482131</v>
      </c>
      <c r="Z61" s="2">
        <f t="shared" si="23"/>
        <v>385129.21497449308</v>
      </c>
      <c r="AA61" s="2">
        <f t="shared" si="66"/>
        <v>37767.259631585854</v>
      </c>
      <c r="AB61" s="83">
        <f t="shared" si="67"/>
        <v>0.10872595300283515</v>
      </c>
      <c r="AC61" s="7">
        <f t="shared" si="26"/>
        <v>1.1087259530028351</v>
      </c>
      <c r="AD61" s="2">
        <f t="shared" si="27"/>
        <v>0</v>
      </c>
      <c r="AE61" s="2"/>
      <c r="AG61">
        <f t="shared" si="28"/>
        <v>2006</v>
      </c>
      <c r="AH61" s="6">
        <f t="shared" si="49"/>
        <v>0.19706985691782405</v>
      </c>
      <c r="AI61" s="7"/>
      <c r="AJ61" s="6">
        <f t="shared" si="50"/>
        <v>0.16967773415525883</v>
      </c>
      <c r="AK61" s="6">
        <f t="shared" si="51"/>
        <v>0.10342819592542014</v>
      </c>
      <c r="AL61" s="7"/>
      <c r="AM61" s="59">
        <f t="shared" si="68"/>
        <v>0.19330137101609993</v>
      </c>
      <c r="AN61" s="38">
        <f t="shared" si="30"/>
        <v>0.33652284198539695</v>
      </c>
      <c r="AO61" s="6">
        <f t="shared" si="31"/>
        <v>0.99999999999999989</v>
      </c>
      <c r="AP61" s="7">
        <f t="shared" si="32"/>
        <v>0.66347715801460294</v>
      </c>
      <c r="AQ61" s="7">
        <f t="shared" si="33"/>
        <v>0</v>
      </c>
      <c r="AR61" s="24"/>
      <c r="AS61">
        <f t="shared" si="34"/>
        <v>2006</v>
      </c>
      <c r="AT61" s="1" t="b">
        <f t="shared" si="35"/>
        <v>1</v>
      </c>
      <c r="AV61" s="1" t="b">
        <f t="shared" si="60"/>
        <v>1</v>
      </c>
      <c r="AW61" s="1" t="b">
        <f t="shared" si="61"/>
        <v>1</v>
      </c>
      <c r="AY61" s="1" t="b">
        <f t="shared" si="47"/>
        <v>1</v>
      </c>
      <c r="AZ61" s="39" t="b">
        <f t="shared" si="38"/>
        <v>0</v>
      </c>
      <c r="BA61" s="1" t="b">
        <f t="shared" si="39"/>
        <v>1</v>
      </c>
      <c r="BC61">
        <f t="shared" si="40"/>
        <v>2006</v>
      </c>
      <c r="BD61" s="27">
        <f>$BK61*BD$42</f>
        <v>77025.842994898616</v>
      </c>
      <c r="BE61" s="2"/>
      <c r="BF61" s="27">
        <f t="shared" ref="BF61:BG64" si="69">$BK61*BF$42</f>
        <v>57769.382246173962</v>
      </c>
      <c r="BG61" s="27">
        <f t="shared" si="69"/>
        <v>38512.921497449308</v>
      </c>
      <c r="BH61" s="2"/>
      <c r="BI61" s="27">
        <f>$BK61*BI$42</f>
        <v>57769.382246173962</v>
      </c>
      <c r="BJ61" s="27">
        <f t="shared" ref="BJ61:BJ64" si="70">$BK61*BJ$42</f>
        <v>154051.68598979723</v>
      </c>
      <c r="BK61" s="2">
        <f t="shared" si="43"/>
        <v>385129.21497449308</v>
      </c>
      <c r="BL61" s="2">
        <f t="shared" si="44"/>
        <v>0</v>
      </c>
      <c r="BM61" s="2"/>
    </row>
    <row r="62" spans="1:65" x14ac:dyDescent="0.2">
      <c r="A62">
        <f t="shared" si="8"/>
        <v>2007</v>
      </c>
      <c r="B62" s="2">
        <f t="shared" si="48"/>
        <v>81177.535932323663</v>
      </c>
      <c r="C62" s="2"/>
      <c r="D62" s="2">
        <f t="shared" si="55"/>
        <v>61247.676751216102</v>
      </c>
      <c r="E62" s="2">
        <f t="shared" si="56"/>
        <v>38958.130869959823</v>
      </c>
      <c r="F62" s="2"/>
      <c r="G62" s="2">
        <f t="shared" si="46"/>
        <v>66736.345758425086</v>
      </c>
      <c r="H62" s="2">
        <f t="shared" si="14"/>
        <v>164712.06266029118</v>
      </c>
      <c r="I62" s="2">
        <f t="shared" si="45"/>
        <v>412831.75197221583</v>
      </c>
      <c r="J62" s="2">
        <f t="shared" si="15"/>
        <v>20041.304158726824</v>
      </c>
      <c r="K62" s="83">
        <f t="shared" si="16"/>
        <v>5.1022890883138668E-2</v>
      </c>
      <c r="L62" s="7">
        <f t="shared" si="17"/>
        <v>1.0510228908831387</v>
      </c>
      <c r="N62">
        <f t="shared" si="18"/>
        <v>2007</v>
      </c>
      <c r="O62" s="2">
        <f t="shared" si="19"/>
        <v>7975.3433853948509</v>
      </c>
      <c r="P62" s="2"/>
      <c r="Q62" s="2"/>
      <c r="R62">
        <f t="shared" si="20"/>
        <v>2007</v>
      </c>
      <c r="S62" s="2">
        <f t="shared" si="57"/>
        <v>79582.467255244686</v>
      </c>
      <c r="T62" s="2"/>
      <c r="U62" s="2">
        <f t="shared" si="58"/>
        <v>59652.608074137133</v>
      </c>
      <c r="V62" s="2">
        <f t="shared" si="58"/>
        <v>37363.062192880854</v>
      </c>
      <c r="W62" s="2"/>
      <c r="X62" s="2">
        <f t="shared" si="59"/>
        <v>65141.277081346117</v>
      </c>
      <c r="Y62" s="2">
        <f t="shared" si="59"/>
        <v>163116.99398321222</v>
      </c>
      <c r="Z62" s="2">
        <f t="shared" si="23"/>
        <v>404856.40858682105</v>
      </c>
      <c r="AA62" s="2">
        <f t="shared" si="66"/>
        <v>19727.193612327974</v>
      </c>
      <c r="AB62" s="83">
        <f t="shared" si="67"/>
        <v>5.1222272539450157E-2</v>
      </c>
      <c r="AC62" s="7">
        <f t="shared" si="26"/>
        <v>1.0512222725394502</v>
      </c>
      <c r="AD62" s="2">
        <f t="shared" si="27"/>
        <v>0</v>
      </c>
      <c r="AE62" s="2"/>
      <c r="AG62">
        <f t="shared" si="28"/>
        <v>2007</v>
      </c>
      <c r="AH62" s="6">
        <f t="shared" si="49"/>
        <v>0.19656961225594211</v>
      </c>
      <c r="AI62" s="7"/>
      <c r="AJ62" s="6">
        <f t="shared" si="50"/>
        <v>0.14734263014968352</v>
      </c>
      <c r="AK62" s="6">
        <f t="shared" si="51"/>
        <v>9.2287194670572642E-2</v>
      </c>
      <c r="AL62" s="7"/>
      <c r="AM62" s="6">
        <f t="shared" si="68"/>
        <v>0.16089970591975114</v>
      </c>
      <c r="AN62" s="6">
        <f t="shared" si="30"/>
        <v>0.40290085700405048</v>
      </c>
      <c r="AO62" s="6">
        <f t="shared" si="31"/>
        <v>0.99999999999999978</v>
      </c>
      <c r="AP62" s="7">
        <f t="shared" si="32"/>
        <v>0.59709914299594935</v>
      </c>
      <c r="AQ62" s="7">
        <f t="shared" si="33"/>
        <v>0</v>
      </c>
      <c r="AR62" s="24"/>
      <c r="AS62">
        <f t="shared" si="34"/>
        <v>2007</v>
      </c>
      <c r="AT62" s="1" t="b">
        <f t="shared" si="35"/>
        <v>1</v>
      </c>
      <c r="AV62" s="1" t="b">
        <f t="shared" si="60"/>
        <v>1</v>
      </c>
      <c r="AW62" s="1" t="b">
        <f t="shared" si="61"/>
        <v>1</v>
      </c>
      <c r="AY62" s="1" t="b">
        <f t="shared" si="47"/>
        <v>1</v>
      </c>
      <c r="AZ62" s="1" t="b">
        <f t="shared" si="38"/>
        <v>1</v>
      </c>
      <c r="BA62" s="1" t="b">
        <f t="shared" si="39"/>
        <v>1</v>
      </c>
      <c r="BC62">
        <f t="shared" si="40"/>
        <v>2007</v>
      </c>
      <c r="BD62" s="2">
        <f t="shared" si="41"/>
        <v>79582.467255244686</v>
      </c>
      <c r="BE62" s="2"/>
      <c r="BF62" s="2">
        <f t="shared" si="62"/>
        <v>59652.608074137133</v>
      </c>
      <c r="BG62" s="2">
        <f t="shared" si="63"/>
        <v>37363.062192880854</v>
      </c>
      <c r="BH62" s="2"/>
      <c r="BI62" s="2">
        <f>X62</f>
        <v>65141.277081346117</v>
      </c>
      <c r="BJ62" s="2">
        <f>Y62</f>
        <v>163116.99398321222</v>
      </c>
      <c r="BK62" s="2">
        <f t="shared" si="43"/>
        <v>404856.40858682105</v>
      </c>
      <c r="BL62" s="2">
        <f t="shared" si="44"/>
        <v>0</v>
      </c>
      <c r="BM62" s="2"/>
    </row>
    <row r="63" spans="1:65" x14ac:dyDescent="0.2">
      <c r="A63">
        <f t="shared" si="8"/>
        <v>2008</v>
      </c>
      <c r="B63" s="2">
        <f t="shared" si="48"/>
        <v>50121.037877353097</v>
      </c>
      <c r="C63" s="2"/>
      <c r="D63" s="2">
        <f t="shared" si="55"/>
        <v>34703.501273210022</v>
      </c>
      <c r="E63" s="2">
        <f t="shared" si="56"/>
        <v>23886.20565990873</v>
      </c>
      <c r="F63" s="2"/>
      <c r="G63" s="2">
        <f t="shared" si="46"/>
        <v>36413.322475701665</v>
      </c>
      <c r="H63" s="2">
        <f t="shared" si="14"/>
        <v>171354.40217936444</v>
      </c>
      <c r="I63" s="2">
        <f t="shared" si="45"/>
        <v>316478.46946553793</v>
      </c>
      <c r="J63" s="2">
        <f t="shared" si="15"/>
        <v>-96353.282506677904</v>
      </c>
      <c r="K63" s="83">
        <f t="shared" si="16"/>
        <v>-0.23339600708126398</v>
      </c>
      <c r="L63" s="7">
        <f t="shared" si="17"/>
        <v>0.76660399291873604</v>
      </c>
      <c r="N63">
        <f t="shared" si="18"/>
        <v>2008</v>
      </c>
      <c r="O63" s="2">
        <f t="shared" si="19"/>
        <v>7975.3433853948509</v>
      </c>
      <c r="P63" s="2"/>
      <c r="Q63" s="2"/>
      <c r="R63">
        <f t="shared" si="20"/>
        <v>2008</v>
      </c>
      <c r="S63" s="2">
        <f t="shared" si="57"/>
        <v>48525.969200274129</v>
      </c>
      <c r="T63" s="2"/>
      <c r="U63" s="2">
        <f t="shared" si="58"/>
        <v>33108.432596131053</v>
      </c>
      <c r="V63" s="2">
        <f t="shared" si="58"/>
        <v>22291.136982829761</v>
      </c>
      <c r="W63" s="2"/>
      <c r="X63" s="2">
        <f t="shared" si="59"/>
        <v>34818.253798622696</v>
      </c>
      <c r="Y63" s="2">
        <f t="shared" si="59"/>
        <v>169759.33350228547</v>
      </c>
      <c r="Z63" s="2">
        <f t="shared" si="23"/>
        <v>308503.12608014309</v>
      </c>
      <c r="AA63" s="2">
        <f t="shared" si="66"/>
        <v>-96353.282506677962</v>
      </c>
      <c r="AB63" s="83">
        <f t="shared" si="67"/>
        <v>-0.23799371941031061</v>
      </c>
      <c r="AC63" s="7">
        <f t="shared" si="26"/>
        <v>0.76200628058968944</v>
      </c>
      <c r="AD63" s="2">
        <f t="shared" si="27"/>
        <v>0</v>
      </c>
      <c r="AE63" s="2"/>
      <c r="AG63">
        <f t="shared" si="28"/>
        <v>2008</v>
      </c>
      <c r="AH63" s="6">
        <f t="shared" si="49"/>
        <v>0.15729490270276233</v>
      </c>
      <c r="AI63" s="7"/>
      <c r="AJ63" s="6">
        <f t="shared" si="50"/>
        <v>0.10731960164167065</v>
      </c>
      <c r="AK63" s="6">
        <f t="shared" si="51"/>
        <v>7.2255789644863955E-2</v>
      </c>
      <c r="AL63" s="7"/>
      <c r="AM63" s="6">
        <f t="shared" si="68"/>
        <v>0.11286191566686943</v>
      </c>
      <c r="AN63" s="38">
        <f t="shared" si="30"/>
        <v>0.55026779034383366</v>
      </c>
      <c r="AO63" s="6">
        <f t="shared" si="31"/>
        <v>1</v>
      </c>
      <c r="AP63" s="7">
        <f t="shared" si="32"/>
        <v>0.44973220965616639</v>
      </c>
      <c r="AQ63" s="7">
        <f t="shared" si="33"/>
        <v>0</v>
      </c>
      <c r="AR63" s="24"/>
      <c r="AS63">
        <f t="shared" si="34"/>
        <v>2008</v>
      </c>
      <c r="AT63" s="1" t="b">
        <f t="shared" si="35"/>
        <v>1</v>
      </c>
      <c r="AV63" s="1" t="b">
        <f t="shared" si="60"/>
        <v>1</v>
      </c>
      <c r="AW63" s="1" t="b">
        <f t="shared" si="61"/>
        <v>1</v>
      </c>
      <c r="AY63" s="1" t="b">
        <f t="shared" si="47"/>
        <v>1</v>
      </c>
      <c r="AZ63" s="39" t="b">
        <f t="shared" si="38"/>
        <v>0</v>
      </c>
      <c r="BA63" s="1" t="b">
        <f t="shared" si="39"/>
        <v>1</v>
      </c>
      <c r="BC63">
        <f t="shared" si="40"/>
        <v>2008</v>
      </c>
      <c r="BD63" s="27">
        <f>$BK63*BD$42</f>
        <v>61700.625216028624</v>
      </c>
      <c r="BE63" s="2"/>
      <c r="BF63" s="27">
        <f t="shared" si="69"/>
        <v>46275.468912021461</v>
      </c>
      <c r="BG63" s="27">
        <f t="shared" si="69"/>
        <v>30850.312608014312</v>
      </c>
      <c r="BH63" s="2"/>
      <c r="BI63" s="27">
        <f>$BK63*BI$42</f>
        <v>46275.468912021461</v>
      </c>
      <c r="BJ63" s="27">
        <f t="shared" si="70"/>
        <v>123401.25043205725</v>
      </c>
      <c r="BK63" s="2">
        <f t="shared" si="43"/>
        <v>308503.12608014309</v>
      </c>
      <c r="BL63" s="2">
        <f t="shared" si="44"/>
        <v>0</v>
      </c>
      <c r="BM63" s="2"/>
    </row>
    <row r="64" spans="1:65" x14ac:dyDescent="0.2">
      <c r="A64">
        <f t="shared" si="8"/>
        <v>2009</v>
      </c>
      <c r="B64" s="2">
        <f t="shared" si="48"/>
        <v>78045.120835754598</v>
      </c>
      <c r="C64" s="2"/>
      <c r="D64" s="2">
        <f t="shared" si="55"/>
        <v>64886.536999058248</v>
      </c>
      <c r="E64" s="2">
        <f t="shared" si="56"/>
        <v>41992.828515776921</v>
      </c>
      <c r="F64" s="2"/>
      <c r="G64" s="2">
        <f t="shared" si="46"/>
        <v>63271.060379339579</v>
      </c>
      <c r="H64" s="2">
        <f t="shared" si="14"/>
        <v>130718.94458267823</v>
      </c>
      <c r="I64" s="2">
        <f t="shared" si="45"/>
        <v>378914.4913126076</v>
      </c>
      <c r="J64" s="2">
        <f t="shared" si="15"/>
        <v>62436.021847069671</v>
      </c>
      <c r="K64" s="83">
        <f t="shared" si="16"/>
        <v>0.19728363181391231</v>
      </c>
      <c r="L64" s="7">
        <f t="shared" si="17"/>
        <v>1.1972836318139124</v>
      </c>
      <c r="N64">
        <f t="shared" si="18"/>
        <v>2009</v>
      </c>
      <c r="O64" s="2">
        <f t="shared" si="19"/>
        <v>8198.6530001859064</v>
      </c>
      <c r="P64" s="2"/>
      <c r="Q64" s="2"/>
      <c r="R64">
        <f t="shared" si="20"/>
        <v>2009</v>
      </c>
      <c r="S64" s="2">
        <f t="shared" si="57"/>
        <v>76405.390235717423</v>
      </c>
      <c r="T64" s="2"/>
      <c r="U64" s="2">
        <f t="shared" si="58"/>
        <v>63246.806399021065</v>
      </c>
      <c r="V64" s="2">
        <f t="shared" si="58"/>
        <v>40353.097915739738</v>
      </c>
      <c r="W64" s="2"/>
      <c r="X64" s="2">
        <f t="shared" si="59"/>
        <v>61631.329779302396</v>
      </c>
      <c r="Y64" s="2">
        <f t="shared" si="59"/>
        <v>129079.21398264106</v>
      </c>
      <c r="Z64" s="2">
        <f t="shared" si="23"/>
        <v>370715.83831242169</v>
      </c>
      <c r="AA64" s="2">
        <f t="shared" si="66"/>
        <v>62212.712232278602</v>
      </c>
      <c r="AB64" s="83">
        <f t="shared" si="67"/>
        <v>0.20165990867825745</v>
      </c>
      <c r="AC64" s="7">
        <f t="shared" si="26"/>
        <v>1.2016599086782573</v>
      </c>
      <c r="AD64" s="2">
        <f t="shared" si="27"/>
        <v>0</v>
      </c>
      <c r="AE64" s="2"/>
      <c r="AG64">
        <f t="shared" si="28"/>
        <v>2009</v>
      </c>
      <c r="AH64" s="6">
        <f t="shared" si="49"/>
        <v>0.20610230893703169</v>
      </c>
      <c r="AI64" s="7"/>
      <c r="AJ64" s="6">
        <f t="shared" si="50"/>
        <v>0.17060724107967479</v>
      </c>
      <c r="AK64" s="6">
        <f t="shared" si="51"/>
        <v>0.10885183136343925</v>
      </c>
      <c r="AL64" s="7"/>
      <c r="AM64" s="6">
        <f t="shared" si="68"/>
        <v>0.16624951893035236</v>
      </c>
      <c r="AN64" s="38">
        <f t="shared" si="30"/>
        <v>0.3481890996895019</v>
      </c>
      <c r="AO64" s="6">
        <f t="shared" si="31"/>
        <v>1</v>
      </c>
      <c r="AP64" s="7">
        <f t="shared" si="32"/>
        <v>0.65181090031049804</v>
      </c>
      <c r="AQ64" s="7">
        <f t="shared" si="33"/>
        <v>0</v>
      </c>
      <c r="AR64" s="24"/>
      <c r="AS64">
        <f t="shared" si="34"/>
        <v>2009</v>
      </c>
      <c r="AT64" s="1" t="b">
        <f t="shared" si="35"/>
        <v>1</v>
      </c>
      <c r="AV64" s="1" t="b">
        <f t="shared" si="60"/>
        <v>1</v>
      </c>
      <c r="AW64" s="1" t="b">
        <f t="shared" si="61"/>
        <v>1</v>
      </c>
      <c r="AY64" s="1" t="b">
        <f t="shared" si="47"/>
        <v>1</v>
      </c>
      <c r="AZ64" s="39" t="b">
        <f t="shared" si="38"/>
        <v>0</v>
      </c>
      <c r="BA64" s="1" t="b">
        <f t="shared" si="39"/>
        <v>1</v>
      </c>
      <c r="BC64">
        <f t="shared" si="40"/>
        <v>2009</v>
      </c>
      <c r="BD64" s="27">
        <f>$BK64*BD$42</f>
        <v>74143.167662484339</v>
      </c>
      <c r="BE64" s="2"/>
      <c r="BF64" s="27">
        <f t="shared" si="69"/>
        <v>55607.375746863254</v>
      </c>
      <c r="BG64" s="27">
        <f t="shared" si="69"/>
        <v>37071.583831242169</v>
      </c>
      <c r="BH64" s="2"/>
      <c r="BI64" s="27">
        <f>$BK64*BI$42</f>
        <v>55607.375746863254</v>
      </c>
      <c r="BJ64" s="27">
        <f t="shared" si="70"/>
        <v>148286.33532496868</v>
      </c>
      <c r="BK64" s="2">
        <f t="shared" si="43"/>
        <v>370715.83831242169</v>
      </c>
      <c r="BL64" s="2">
        <f t="shared" si="44"/>
        <v>0</v>
      </c>
      <c r="BM64" s="2"/>
    </row>
    <row r="65" spans="1:65" x14ac:dyDescent="0.2">
      <c r="A65">
        <f t="shared" si="8"/>
        <v>2010</v>
      </c>
      <c r="B65" s="2">
        <f t="shared" si="48"/>
        <v>85197.913960960752</v>
      </c>
      <c r="C65" s="2"/>
      <c r="D65" s="2">
        <f t="shared" si="55"/>
        <v>69765.013612014634</v>
      </c>
      <c r="E65" s="2">
        <f t="shared" si="56"/>
        <v>47347.826869262506</v>
      </c>
      <c r="F65" s="2"/>
      <c r="G65" s="2">
        <f t="shared" si="46"/>
        <v>61790.915929914445</v>
      </c>
      <c r="H65" s="2">
        <f t="shared" si="14"/>
        <v>157806.31805283166</v>
      </c>
      <c r="I65" s="2">
        <f t="shared" si="45"/>
        <v>421907.98842498404</v>
      </c>
      <c r="J65" s="2">
        <f t="shared" si="15"/>
        <v>42993.497112376441</v>
      </c>
      <c r="K65" s="83">
        <f t="shared" si="16"/>
        <v>0.11346490593020483</v>
      </c>
      <c r="L65" s="7">
        <f t="shared" si="17"/>
        <v>1.1134649059302049</v>
      </c>
      <c r="N65">
        <f t="shared" si="18"/>
        <v>2010</v>
      </c>
      <c r="O65" s="2">
        <f t="shared" si="19"/>
        <v>8313.4341421885092</v>
      </c>
      <c r="P65" s="2"/>
      <c r="Q65" s="2"/>
      <c r="R65">
        <f t="shared" si="20"/>
        <v>2010</v>
      </c>
      <c r="S65" s="2">
        <f t="shared" si="57"/>
        <v>83535.227132523054</v>
      </c>
      <c r="T65" s="2"/>
      <c r="U65" s="2">
        <f t="shared" si="58"/>
        <v>68102.326783576937</v>
      </c>
      <c r="V65" s="2">
        <f t="shared" si="58"/>
        <v>45685.140040824801</v>
      </c>
      <c r="W65" s="2"/>
      <c r="X65" s="2">
        <f t="shared" si="59"/>
        <v>60128.22910147674</v>
      </c>
      <c r="Y65" s="2">
        <f t="shared" si="59"/>
        <v>156143.63122439396</v>
      </c>
      <c r="Z65" s="2">
        <f t="shared" si="23"/>
        <v>413594.55428279552</v>
      </c>
      <c r="AA65" s="2">
        <f t="shared" si="66"/>
        <v>42878.715970373829</v>
      </c>
      <c r="AB65" s="83">
        <f t="shared" si="67"/>
        <v>0.11566464536710105</v>
      </c>
      <c r="AC65" s="7">
        <f t="shared" si="26"/>
        <v>1.1156646453671011</v>
      </c>
      <c r="AD65" s="2">
        <f t="shared" si="27"/>
        <v>0</v>
      </c>
      <c r="AE65" s="2"/>
      <c r="AG65">
        <f t="shared" si="28"/>
        <v>2010</v>
      </c>
      <c r="AH65" s="6">
        <f t="shared" si="49"/>
        <v>0.20197371137388281</v>
      </c>
      <c r="AI65" s="7"/>
      <c r="AJ65" s="6">
        <f t="shared" si="50"/>
        <v>0.16465963122186547</v>
      </c>
      <c r="AK65" s="6">
        <f t="shared" si="51"/>
        <v>0.11045875620883432</v>
      </c>
      <c r="AL65" s="7"/>
      <c r="AM65" s="6">
        <f t="shared" si="68"/>
        <v>0.14537964409551685</v>
      </c>
      <c r="AN65" s="38">
        <f t="shared" si="30"/>
        <v>0.37752825709990045</v>
      </c>
      <c r="AO65" s="6">
        <f t="shared" si="31"/>
        <v>0.99999999999999989</v>
      </c>
      <c r="AP65" s="7">
        <f t="shared" si="32"/>
        <v>0.62247174290009943</v>
      </c>
      <c r="AQ65" s="7">
        <f t="shared" si="33"/>
        <v>0</v>
      </c>
      <c r="AR65" s="24"/>
      <c r="AS65">
        <f t="shared" si="34"/>
        <v>2010</v>
      </c>
      <c r="AT65" s="1" t="b">
        <f t="shared" si="35"/>
        <v>1</v>
      </c>
      <c r="AV65" s="1" t="b">
        <f t="shared" si="60"/>
        <v>1</v>
      </c>
      <c r="AW65" s="1" t="b">
        <f t="shared" si="61"/>
        <v>1</v>
      </c>
      <c r="AY65" s="1" t="b">
        <f t="shared" si="47"/>
        <v>1</v>
      </c>
      <c r="AZ65" s="1" t="b">
        <f t="shared" si="38"/>
        <v>1</v>
      </c>
      <c r="BA65" s="1" t="b">
        <f t="shared" si="39"/>
        <v>1</v>
      </c>
      <c r="BC65">
        <f t="shared" si="40"/>
        <v>2010</v>
      </c>
      <c r="BD65" s="2">
        <f t="shared" ref="BD65" si="71">S65</f>
        <v>83535.227132523054</v>
      </c>
      <c r="BE65" s="2"/>
      <c r="BF65" s="2">
        <f t="shared" ref="BF65" si="72">U65</f>
        <v>68102.326783576937</v>
      </c>
      <c r="BG65" s="2">
        <f t="shared" ref="BG65" si="73">V65</f>
        <v>45685.140040824801</v>
      </c>
      <c r="BH65" s="2"/>
      <c r="BI65" s="2">
        <f>X65</f>
        <v>60128.22910147674</v>
      </c>
      <c r="BJ65" s="2">
        <f t="shared" ref="BJ65" si="74">Y65</f>
        <v>156143.63122439396</v>
      </c>
      <c r="BK65" s="2">
        <f t="shared" si="43"/>
        <v>413594.55428279552</v>
      </c>
      <c r="BL65" s="2">
        <f t="shared" si="44"/>
        <v>0</v>
      </c>
      <c r="BM65" s="2"/>
    </row>
    <row r="66" spans="1:65" x14ac:dyDescent="0.2">
      <c r="A66">
        <f t="shared" si="8"/>
        <v>2011</v>
      </c>
      <c r="B66" s="2">
        <f t="shared" si="48"/>
        <v>85180.871107033759</v>
      </c>
      <c r="C66" s="2"/>
      <c r="D66" s="2">
        <f t="shared" si="55"/>
        <v>66665.367688443468</v>
      </c>
      <c r="E66" s="2">
        <f t="shared" si="56"/>
        <v>44405.956119681709</v>
      </c>
      <c r="F66" s="2"/>
      <c r="G66" s="2">
        <f t="shared" si="46"/>
        <v>51373.558944301731</v>
      </c>
      <c r="H66" s="2">
        <f t="shared" si="14"/>
        <v>167948.08974495815</v>
      </c>
      <c r="I66" s="2">
        <f t="shared" si="45"/>
        <v>415573.8436044188</v>
      </c>
      <c r="J66" s="2">
        <f t="shared" si="15"/>
        <v>-6334.1448205652414</v>
      </c>
      <c r="K66" s="83">
        <f t="shared" si="16"/>
        <v>-1.5013095258544655E-2</v>
      </c>
      <c r="L66" s="7">
        <f t="shared" si="17"/>
        <v>0.98498690474145534</v>
      </c>
      <c r="N66">
        <f t="shared" si="18"/>
        <v>2011</v>
      </c>
      <c r="O66" s="2">
        <f t="shared" si="19"/>
        <v>8562.8371664541646</v>
      </c>
      <c r="P66" s="2"/>
      <c r="Q66" s="2"/>
      <c r="R66">
        <f t="shared" si="20"/>
        <v>2011</v>
      </c>
      <c r="S66" s="2">
        <f t="shared" si="57"/>
        <v>83468.303673742921</v>
      </c>
      <c r="T66" s="2"/>
      <c r="U66" s="2">
        <f t="shared" si="58"/>
        <v>64952.800255152637</v>
      </c>
      <c r="V66" s="2">
        <f t="shared" si="58"/>
        <v>42693.388686390877</v>
      </c>
      <c r="W66" s="2"/>
      <c r="X66" s="2">
        <f t="shared" si="59"/>
        <v>49660.9915110109</v>
      </c>
      <c r="Y66" s="2">
        <f t="shared" si="59"/>
        <v>166235.52231166733</v>
      </c>
      <c r="Z66" s="2">
        <f t="shared" si="23"/>
        <v>407011.00643796468</v>
      </c>
      <c r="AA66" s="2">
        <f t="shared" si="66"/>
        <v>-6583.5478448308422</v>
      </c>
      <c r="AB66" s="83">
        <f t="shared" si="67"/>
        <v>-1.5917878455259684E-2</v>
      </c>
      <c r="AC66" s="7">
        <f t="shared" si="26"/>
        <v>0.98408212154474028</v>
      </c>
      <c r="AD66" s="2">
        <f t="shared" si="27"/>
        <v>0</v>
      </c>
      <c r="AE66" s="2"/>
      <c r="AG66">
        <f t="shared" si="28"/>
        <v>2011</v>
      </c>
      <c r="AH66" s="6">
        <f t="shared" si="49"/>
        <v>0.20507628136209849</v>
      </c>
      <c r="AI66" s="7"/>
      <c r="AJ66" s="6">
        <f t="shared" si="50"/>
        <v>0.15958487418706338</v>
      </c>
      <c r="AK66" s="6">
        <f t="shared" si="51"/>
        <v>0.10489492424303289</v>
      </c>
      <c r="AL66" s="7"/>
      <c r="AM66" s="6">
        <f t="shared" si="68"/>
        <v>0.12201387855731137</v>
      </c>
      <c r="AN66" s="6">
        <f t="shared" si="30"/>
        <v>0.40843004165049385</v>
      </c>
      <c r="AO66" s="6">
        <f t="shared" si="31"/>
        <v>1</v>
      </c>
      <c r="AP66" s="7">
        <f t="shared" si="32"/>
        <v>0.5915699583495061</v>
      </c>
      <c r="AQ66" s="7">
        <f t="shared" si="33"/>
        <v>0</v>
      </c>
      <c r="AR66" s="24"/>
      <c r="AS66">
        <f t="shared" si="34"/>
        <v>2011</v>
      </c>
      <c r="AT66" s="1" t="b">
        <f t="shared" si="35"/>
        <v>1</v>
      </c>
      <c r="AV66" s="1" t="b">
        <f t="shared" si="60"/>
        <v>1</v>
      </c>
      <c r="AW66" s="1" t="b">
        <f t="shared" si="61"/>
        <v>1</v>
      </c>
      <c r="AY66" s="1" t="b">
        <f t="shared" si="47"/>
        <v>1</v>
      </c>
      <c r="AZ66" s="1" t="b">
        <f t="shared" si="38"/>
        <v>1</v>
      </c>
      <c r="BA66" s="1" t="b">
        <f t="shared" si="39"/>
        <v>1</v>
      </c>
      <c r="BC66">
        <f t="shared" si="40"/>
        <v>2011</v>
      </c>
      <c r="BD66" s="2">
        <f t="shared" si="41"/>
        <v>83468.303673742921</v>
      </c>
      <c r="BE66" s="2"/>
      <c r="BF66" s="2">
        <f t="shared" si="62"/>
        <v>64952.800255152637</v>
      </c>
      <c r="BG66" s="2">
        <f t="shared" si="63"/>
        <v>42693.388686390877</v>
      </c>
      <c r="BH66" s="2"/>
      <c r="BI66" s="2">
        <f>X66</f>
        <v>49660.9915110109</v>
      </c>
      <c r="BJ66" s="2">
        <f t="shared" ref="BJ66:BJ67" si="75">Y66</f>
        <v>166235.52231166733</v>
      </c>
      <c r="BK66" s="2">
        <f t="shared" si="43"/>
        <v>407011.00643796468</v>
      </c>
      <c r="BL66" s="2">
        <f t="shared" si="44"/>
        <v>0</v>
      </c>
      <c r="BM66" s="2"/>
    </row>
    <row r="67" spans="1:65" x14ac:dyDescent="0.2">
      <c r="A67">
        <f t="shared" si="8"/>
        <v>2012</v>
      </c>
      <c r="B67" s="2">
        <f t="shared" si="48"/>
        <v>96672.989314929044</v>
      </c>
      <c r="C67" s="2"/>
      <c r="D67" s="2">
        <f t="shared" si="55"/>
        <v>75215.342695466752</v>
      </c>
      <c r="E67" s="2">
        <f t="shared" si="56"/>
        <v>50395.276005415799</v>
      </c>
      <c r="F67" s="2"/>
      <c r="G67" s="2">
        <f t="shared" si="46"/>
        <v>58669.495371108278</v>
      </c>
      <c r="H67" s="2">
        <f t="shared" si="14"/>
        <v>172968.06096528986</v>
      </c>
      <c r="I67" s="2">
        <f t="shared" si="45"/>
        <v>453921.16435220977</v>
      </c>
      <c r="J67" s="2">
        <f t="shared" si="15"/>
        <v>38347.320747790975</v>
      </c>
      <c r="K67" s="83">
        <f t="shared" si="16"/>
        <v>9.2275587932077519E-2</v>
      </c>
      <c r="L67" s="7">
        <f t="shared" si="17"/>
        <v>1.0922755879320776</v>
      </c>
      <c r="N67">
        <f t="shared" si="18"/>
        <v>2012</v>
      </c>
      <c r="O67" s="2">
        <f t="shared" si="19"/>
        <v>8716.9682354503402</v>
      </c>
      <c r="P67" s="2"/>
      <c r="Q67" s="2"/>
      <c r="R67">
        <f t="shared" si="20"/>
        <v>2012</v>
      </c>
      <c r="S67" s="2">
        <f t="shared" si="57"/>
        <v>94929.595667838978</v>
      </c>
      <c r="T67" s="2"/>
      <c r="U67" s="2">
        <f t="shared" si="58"/>
        <v>73471.949048376686</v>
      </c>
      <c r="V67" s="2">
        <f t="shared" si="58"/>
        <v>48651.882358325733</v>
      </c>
      <c r="W67" s="2"/>
      <c r="X67" s="2">
        <f t="shared" si="59"/>
        <v>56926.101724018212</v>
      </c>
      <c r="Y67" s="2">
        <f t="shared" si="59"/>
        <v>171224.66731819979</v>
      </c>
      <c r="Z67" s="2">
        <f t="shared" si="23"/>
        <v>445204.19611675944</v>
      </c>
      <c r="AA67" s="2">
        <f t="shared" si="66"/>
        <v>38193.189678794763</v>
      </c>
      <c r="AB67" s="83">
        <f t="shared" si="67"/>
        <v>9.38382232290223E-2</v>
      </c>
      <c r="AC67" s="7">
        <f t="shared" si="26"/>
        <v>1.0938382232290222</v>
      </c>
      <c r="AD67" s="2">
        <f t="shared" si="27"/>
        <v>0</v>
      </c>
      <c r="AE67" s="2"/>
      <c r="AG67">
        <f t="shared" si="28"/>
        <v>2012</v>
      </c>
      <c r="AH67" s="6">
        <f t="shared" si="49"/>
        <v>0.21322709106484411</v>
      </c>
      <c r="AI67" s="7"/>
      <c r="AJ67" s="6">
        <f t="shared" si="50"/>
        <v>0.16502977664906801</v>
      </c>
      <c r="AK67" s="6">
        <f t="shared" si="51"/>
        <v>0.10927992768865608</v>
      </c>
      <c r="AL67" s="7"/>
      <c r="AM67" s="6">
        <f t="shared" si="68"/>
        <v>0.1278651509140061</v>
      </c>
      <c r="AN67" s="6">
        <f t="shared" si="30"/>
        <v>0.38459805368342559</v>
      </c>
      <c r="AO67" s="6">
        <f t="shared" si="31"/>
        <v>0.99999999999999989</v>
      </c>
      <c r="AP67" s="7">
        <f t="shared" si="32"/>
        <v>0.6154019463165743</v>
      </c>
      <c r="AQ67" s="7">
        <f t="shared" si="33"/>
        <v>0</v>
      </c>
      <c r="AR67" s="24"/>
      <c r="AS67">
        <f t="shared" si="34"/>
        <v>2012</v>
      </c>
      <c r="AT67" s="1" t="b">
        <f t="shared" si="35"/>
        <v>1</v>
      </c>
      <c r="AV67" s="1" t="b">
        <f t="shared" si="60"/>
        <v>1</v>
      </c>
      <c r="AW67" s="1" t="b">
        <f t="shared" si="61"/>
        <v>1</v>
      </c>
      <c r="AY67" s="1" t="b">
        <f t="shared" si="47"/>
        <v>1</v>
      </c>
      <c r="AZ67" s="1" t="b">
        <f t="shared" si="38"/>
        <v>1</v>
      </c>
      <c r="BA67" s="1" t="b">
        <f t="shared" si="39"/>
        <v>1</v>
      </c>
      <c r="BC67">
        <f t="shared" si="40"/>
        <v>2012</v>
      </c>
      <c r="BD67" s="2">
        <f t="shared" si="41"/>
        <v>94929.595667838978</v>
      </c>
      <c r="BE67" s="2"/>
      <c r="BF67" s="2">
        <f t="shared" si="62"/>
        <v>73471.949048376686</v>
      </c>
      <c r="BG67" s="2">
        <f t="shared" si="63"/>
        <v>48651.882358325733</v>
      </c>
      <c r="BH67" s="2"/>
      <c r="BI67" s="2">
        <f>X67</f>
        <v>56926.101724018212</v>
      </c>
      <c r="BJ67" s="2">
        <f t="shared" si="75"/>
        <v>171224.66731819979</v>
      </c>
      <c r="BK67" s="2">
        <f t="shared" si="43"/>
        <v>445204.19611675944</v>
      </c>
      <c r="BL67" s="2">
        <f t="shared" si="44"/>
        <v>0</v>
      </c>
      <c r="BM67" s="2"/>
    </row>
    <row r="68" spans="1:65" x14ac:dyDescent="0.2">
      <c r="A68">
        <f t="shared" si="8"/>
        <v>2013</v>
      </c>
      <c r="B68" s="2">
        <f t="shared" si="48"/>
        <v>125477.93955374957</v>
      </c>
      <c r="C68" s="2"/>
      <c r="D68" s="2">
        <f t="shared" si="55"/>
        <v>99187.131215308531</v>
      </c>
      <c r="E68" s="2">
        <f t="shared" si="56"/>
        <v>66954.72050152786</v>
      </c>
      <c r="F68" s="2"/>
      <c r="G68" s="2">
        <f t="shared" si="46"/>
        <v>65487.787423310547</v>
      </c>
      <c r="H68" s="2">
        <f t="shared" si="14"/>
        <v>167354.98983680847</v>
      </c>
      <c r="I68" s="2">
        <f t="shared" ref="I68:I69" si="76">SUM(B68:H68)</f>
        <v>524462.56853070506</v>
      </c>
      <c r="J68" s="2">
        <f t="shared" ref="J68:J69" si="77">I68-I67</f>
        <v>70541.404178495286</v>
      </c>
      <c r="K68" s="83">
        <f t="shared" ref="K68:K69" si="78">(J68/I67)</f>
        <v>0.15540452774253172</v>
      </c>
      <c r="L68" s="7">
        <f t="shared" ref="L68:L69" si="79">K68+1</f>
        <v>1.1554045277425318</v>
      </c>
      <c r="N68">
        <f t="shared" ref="N68:N69" si="80">A68</f>
        <v>2013</v>
      </c>
      <c r="O68" s="2">
        <f t="shared" si="19"/>
        <v>8817.7007973373929</v>
      </c>
      <c r="P68" s="2"/>
      <c r="Q68" s="2"/>
      <c r="R68">
        <f t="shared" ref="R68:R69" si="81">A68</f>
        <v>2013</v>
      </c>
      <c r="S68" s="2">
        <f t="shared" ref="S68:S69" si="82">B68-($O68/5)</f>
        <v>123714.3993942821</v>
      </c>
      <c r="T68" s="2"/>
      <c r="U68" s="2">
        <f t="shared" ref="U68:U69" si="83">D68-($O68/5)</f>
        <v>97423.591055841054</v>
      </c>
      <c r="V68" s="2">
        <f t="shared" ref="V68:V69" si="84">E68-($O68/5)</f>
        <v>65191.180342060383</v>
      </c>
      <c r="W68" s="2"/>
      <c r="X68" s="2">
        <f t="shared" ref="X68:X69" si="85">G68-($O68/5)</f>
        <v>63724.24726384307</v>
      </c>
      <c r="Y68" s="2">
        <f t="shared" ref="Y68:Y69" si="86">H68-($O68/5)</f>
        <v>165591.44967734098</v>
      </c>
      <c r="Z68" s="2">
        <f t="shared" ref="Z68:Z69" si="87">SUM(S68:Y68)</f>
        <v>515644.8677333676</v>
      </c>
      <c r="AA68" s="2">
        <f t="shared" ref="AA68:AA69" si="88">Z68-Z67</f>
        <v>70440.671616608161</v>
      </c>
      <c r="AB68" s="83">
        <f t="shared" ref="AB68:AB69" si="89">(AA68/Z67)</f>
        <v>0.15822104156029643</v>
      </c>
      <c r="AC68" s="7">
        <f t="shared" ref="AC68:AC69" si="90">AB68+1</f>
        <v>1.1582210415602965</v>
      </c>
      <c r="AD68" s="2">
        <f t="shared" ref="AD68:AD69" si="91">Z68-(I68-O68)</f>
        <v>0</v>
      </c>
      <c r="AE68" s="2"/>
      <c r="AG68">
        <f t="shared" ref="AG68" si="92">A68</f>
        <v>2013</v>
      </c>
      <c r="AH68" s="6">
        <f t="shared" ref="AH68" si="93">S68/$Z68</f>
        <v>0.23992171189077557</v>
      </c>
      <c r="AI68" s="7"/>
      <c r="AJ68" s="6">
        <f t="shared" ref="AJ68" si="94">U68/$Z68</f>
        <v>0.18893544210783722</v>
      </c>
      <c r="AK68" s="6">
        <f t="shared" ref="AK68" si="95">V68/$Z68</f>
        <v>0.12642650867179733</v>
      </c>
      <c r="AL68" s="7"/>
      <c r="AM68" s="6">
        <f t="shared" ref="AM68" si="96">X68/$Z68</f>
        <v>0.12358165716640845</v>
      </c>
      <c r="AN68" s="6">
        <f t="shared" ref="AN68" si="97">Y68/$Z68</f>
        <v>0.32113468016318142</v>
      </c>
      <c r="AO68" s="6">
        <f t="shared" ref="AO68" si="98">SUM(AH68:AN68)</f>
        <v>1</v>
      </c>
      <c r="AP68" s="7">
        <f t="shared" ref="AP68" si="99">SUM(AH68:AM68)</f>
        <v>0.67886531983681853</v>
      </c>
      <c r="AQ68" s="7">
        <f t="shared" ref="AQ68" si="100">AO68-(AP68+AN68)</f>
        <v>0</v>
      </c>
      <c r="AR68" s="24"/>
      <c r="AS68">
        <f t="shared" ref="AS68:AS69" si="101">AG68</f>
        <v>2013</v>
      </c>
      <c r="AT68" s="1" t="b">
        <f t="shared" ref="AT68" si="102">AND((S68/$Z68)&gt;0.15,(S68/$Z68)&lt;0.25)</f>
        <v>1</v>
      </c>
      <c r="AV68" s="1" t="b">
        <f t="shared" si="60"/>
        <v>1</v>
      </c>
      <c r="AW68" s="1" t="b">
        <f t="shared" ref="AW68:AW69" si="103">AND((V68/$Z68)&gt;0.05,(V68/$Z68)&lt;0.15)</f>
        <v>1</v>
      </c>
      <c r="AY68" s="1" t="b">
        <f t="shared" si="47"/>
        <v>1</v>
      </c>
      <c r="AZ68" s="39" t="b">
        <f t="shared" si="38"/>
        <v>0</v>
      </c>
      <c r="BA68" s="1" t="b">
        <f t="shared" ref="BA68:BA69" si="104">AND((Z68/$Z68)&gt;0.999,(Z68/$Z68)&lt;1.01)</f>
        <v>1</v>
      </c>
      <c r="BC68">
        <f t="shared" ref="BC68:BC69" si="105">AS68</f>
        <v>2013</v>
      </c>
      <c r="BD68" s="27">
        <f>$BK68*BD$42</f>
        <v>103128.97354667353</v>
      </c>
      <c r="BE68" s="2"/>
      <c r="BF68" s="27">
        <f t="shared" ref="BF68:BG68" si="106">$BK68*BF$42</f>
        <v>77346.730160005143</v>
      </c>
      <c r="BG68" s="27">
        <f t="shared" si="106"/>
        <v>51564.486773336765</v>
      </c>
      <c r="BH68" s="2"/>
      <c r="BI68" s="27">
        <f>$BK68*BI$42</f>
        <v>77346.730160005143</v>
      </c>
      <c r="BJ68" s="27">
        <f t="shared" ref="BJ68" si="107">$BK68*BJ$42</f>
        <v>206257.94709334706</v>
      </c>
      <c r="BK68" s="2">
        <f t="shared" ref="BK68:BK69" si="108">Z68</f>
        <v>515644.8677333676</v>
      </c>
      <c r="BL68" s="2">
        <f t="shared" ref="BL68:BL69" si="109">SUM(BD68:BJ68)-Z68</f>
        <v>0</v>
      </c>
      <c r="BM68" s="2"/>
    </row>
    <row r="69" spans="1:65" x14ac:dyDescent="0.2">
      <c r="A69">
        <f t="shared" si="8"/>
        <v>2014</v>
      </c>
      <c r="B69" s="2">
        <f t="shared" si="48"/>
        <v>117061.69787282913</v>
      </c>
      <c r="C69" s="2"/>
      <c r="D69" s="2">
        <f t="shared" si="55"/>
        <v>87865.885461765851</v>
      </c>
      <c r="E69" s="2">
        <f t="shared" si="56"/>
        <v>55364.789448531687</v>
      </c>
      <c r="F69" s="2"/>
      <c r="G69" s="2">
        <f t="shared" si="46"/>
        <v>74067.228801220932</v>
      </c>
      <c r="H69" s="2">
        <f t="shared" si="14"/>
        <v>218138.40484592385</v>
      </c>
      <c r="I69" s="2">
        <f t="shared" si="76"/>
        <v>552498.00643027143</v>
      </c>
      <c r="J69" s="2">
        <f t="shared" si="77"/>
        <v>28035.437899566372</v>
      </c>
      <c r="K69" s="83">
        <f t="shared" si="78"/>
        <v>5.3455555423351467E-2</v>
      </c>
      <c r="L69" s="7">
        <f t="shared" si="79"/>
        <v>1.0534555554233516</v>
      </c>
      <c r="N69">
        <f t="shared" si="80"/>
        <v>2014</v>
      </c>
      <c r="O69" s="2">
        <f t="shared" si="19"/>
        <v>8931.4491376230453</v>
      </c>
      <c r="P69" s="2"/>
      <c r="R69">
        <f t="shared" si="81"/>
        <v>2014</v>
      </c>
      <c r="S69" s="2">
        <f t="shared" si="82"/>
        <v>115275.40804530452</v>
      </c>
      <c r="T69" s="2"/>
      <c r="U69" s="2">
        <f t="shared" si="83"/>
        <v>86079.595634241239</v>
      </c>
      <c r="V69" s="2">
        <f t="shared" si="84"/>
        <v>53578.499621007075</v>
      </c>
      <c r="W69" s="2"/>
      <c r="X69" s="2">
        <f t="shared" si="85"/>
        <v>72280.93897369632</v>
      </c>
      <c r="Y69" s="2">
        <f t="shared" si="86"/>
        <v>216352.11501839926</v>
      </c>
      <c r="Z69" s="2">
        <f t="shared" si="87"/>
        <v>543566.55729264836</v>
      </c>
      <c r="AA69" s="2">
        <f t="shared" si="88"/>
        <v>27921.689559280756</v>
      </c>
      <c r="AB69" s="83">
        <f t="shared" si="89"/>
        <v>5.414906907154296E-2</v>
      </c>
      <c r="AC69" s="7">
        <f t="shared" si="90"/>
        <v>1.0541490690715429</v>
      </c>
      <c r="AD69" s="2">
        <f t="shared" si="91"/>
        <v>0</v>
      </c>
      <c r="AE69" s="2"/>
      <c r="AG69">
        <f t="shared" ref="AG69:AG70" si="110">A69</f>
        <v>2014</v>
      </c>
      <c r="AH69" s="6">
        <f t="shared" ref="AH69:AH70" si="111">S69/$Z69</f>
        <v>0.21207229638898095</v>
      </c>
      <c r="AI69" s="7"/>
      <c r="AJ69" s="6">
        <f t="shared" ref="AJ69:AJ70" si="112">U69/$Z69</f>
        <v>0.15836072782508809</v>
      </c>
      <c r="AK69" s="6">
        <f t="shared" ref="AK69:AK70" si="113">V69/$Z69</f>
        <v>9.8568425342181576E-2</v>
      </c>
      <c r="AL69" s="7"/>
      <c r="AM69" s="6">
        <f t="shared" ref="AM69:AM70" si="114">X69/$Z69</f>
        <v>0.13297532381997024</v>
      </c>
      <c r="AN69" s="6">
        <f t="shared" ref="AN69:AN70" si="115">Y69/$Z69</f>
        <v>0.39802322662377926</v>
      </c>
      <c r="AO69" s="6">
        <f t="shared" ref="AO69:AO70" si="116">SUM(AH69:AN69)</f>
        <v>1.0000000000000002</v>
      </c>
      <c r="AP69" s="7">
        <f t="shared" ref="AP69:AP70" si="117">SUM(AH69:AM69)</f>
        <v>0.60197677337622091</v>
      </c>
      <c r="AQ69" s="7">
        <f t="shared" ref="AQ69:AQ70" si="118">AO69-(AP69+AN69)</f>
        <v>0</v>
      </c>
      <c r="AR69" s="24"/>
      <c r="AS69">
        <f t="shared" si="101"/>
        <v>2014</v>
      </c>
      <c r="AT69" s="1" t="b">
        <f t="shared" si="35"/>
        <v>1</v>
      </c>
      <c r="AU69" s="1"/>
      <c r="AV69" s="1" t="b">
        <f t="shared" si="60"/>
        <v>1</v>
      </c>
      <c r="AW69" s="1" t="b">
        <f t="shared" si="103"/>
        <v>1</v>
      </c>
      <c r="AX69" s="1"/>
      <c r="AY69" s="1" t="b">
        <f t="shared" si="47"/>
        <v>1</v>
      </c>
      <c r="AZ69" s="1" t="b">
        <f t="shared" si="38"/>
        <v>1</v>
      </c>
      <c r="BA69" s="1" t="b">
        <f t="shared" si="104"/>
        <v>1</v>
      </c>
      <c r="BC69">
        <f t="shared" si="105"/>
        <v>2014</v>
      </c>
      <c r="BD69" s="2">
        <f t="shared" ref="BD69" si="119">S69</f>
        <v>115275.40804530452</v>
      </c>
      <c r="BE69" s="2"/>
      <c r="BF69" s="2">
        <f t="shared" ref="BF69" si="120">U69</f>
        <v>86079.595634241239</v>
      </c>
      <c r="BG69" s="2">
        <f t="shared" ref="BG69" si="121">V69</f>
        <v>53578.499621007075</v>
      </c>
      <c r="BH69" s="2"/>
      <c r="BI69" s="2">
        <f t="shared" ref="BI69" si="122">X69</f>
        <v>72280.93897369632</v>
      </c>
      <c r="BJ69" s="2">
        <f t="shared" ref="BJ69" si="123">Y69</f>
        <v>216352.11501839926</v>
      </c>
      <c r="BK69" s="2">
        <f t="shared" si="108"/>
        <v>543566.55729264836</v>
      </c>
      <c r="BL69" s="2">
        <f t="shared" si="109"/>
        <v>0</v>
      </c>
      <c r="BM69" s="20"/>
    </row>
    <row r="70" spans="1:65" x14ac:dyDescent="0.2">
      <c r="A70">
        <f t="shared" si="8"/>
        <v>2015</v>
      </c>
      <c r="B70" s="2">
        <f t="shared" ref="B70" si="124">BD69*(1+(B31/100))</f>
        <v>116716.35064587081</v>
      </c>
      <c r="C70" s="2"/>
      <c r="D70" s="2">
        <f t="shared" ref="D70" si="125">BF69*(1+(D31/100))</f>
        <v>84822.833537981322</v>
      </c>
      <c r="E70" s="2">
        <f t="shared" ref="E70" si="126">BG69*(1+(E31/100))</f>
        <v>51553.232335333007</v>
      </c>
      <c r="F70" s="2"/>
      <c r="G70" s="2">
        <f t="shared" ref="G70" si="127">BI69*(1+(G31/100))</f>
        <v>69122.261940545795</v>
      </c>
      <c r="H70" s="2">
        <f t="shared" ref="H70" si="128">BJ69*(1+(H31/100))</f>
        <v>217001.17136345443</v>
      </c>
      <c r="I70" s="2">
        <f t="shared" ref="I70" si="129">SUM(B70:H70)</f>
        <v>539215.84982318536</v>
      </c>
      <c r="J70" s="2">
        <f t="shared" ref="J70" si="130">I70-I69</f>
        <v>-13282.156607086072</v>
      </c>
      <c r="K70" s="83">
        <f t="shared" ref="K70" si="131">(J70/I69)</f>
        <v>-2.4040189199781955E-2</v>
      </c>
      <c r="L70" s="7">
        <f t="shared" ref="L70" si="132">K70+1</f>
        <v>0.9759598108002181</v>
      </c>
      <c r="N70">
        <f t="shared" ref="N70" si="133">A70</f>
        <v>2015</v>
      </c>
      <c r="O70" s="2">
        <f t="shared" si="19"/>
        <v>8970.7475138285863</v>
      </c>
      <c r="P70" s="2"/>
      <c r="R70">
        <f t="shared" ref="R70" si="134">A70</f>
        <v>2015</v>
      </c>
      <c r="S70" s="2">
        <f t="shared" ref="S70" si="135">B70-($O70/5)</f>
        <v>114922.20114310509</v>
      </c>
      <c r="T70" s="2"/>
      <c r="U70" s="2">
        <f t="shared" ref="U70" si="136">D70-($O70/5)</f>
        <v>83028.6840352156</v>
      </c>
      <c r="V70" s="2">
        <f t="shared" ref="V70" si="137">E70-($O70/5)</f>
        <v>49759.082832567292</v>
      </c>
      <c r="W70" s="2"/>
      <c r="X70" s="2">
        <f t="shared" ref="X70" si="138">G70-($O70/5)</f>
        <v>67328.112437780073</v>
      </c>
      <c r="Y70" s="2">
        <f t="shared" ref="Y70" si="139">H70-($O70/5)</f>
        <v>215207.02186068872</v>
      </c>
      <c r="Z70" s="2">
        <f t="shared" ref="Z70" si="140">SUM(S70:Y70)</f>
        <v>530245.10230935679</v>
      </c>
      <c r="AA70" s="2">
        <f t="shared" ref="AA70" si="141">Z70-Z69</f>
        <v>-13321.454983291565</v>
      </c>
      <c r="AB70" s="83">
        <f t="shared" ref="AB70" si="142">(AA70/Z69)</f>
        <v>-2.4507495548736432E-2</v>
      </c>
      <c r="AC70" s="7">
        <f t="shared" ref="AC70" si="143">AB70+1</f>
        <v>0.97549250445126356</v>
      </c>
      <c r="AD70" s="2">
        <f t="shared" ref="AD70" si="144">Z70-(I70-O70)</f>
        <v>0</v>
      </c>
      <c r="AE70" s="2"/>
      <c r="AG70">
        <f t="shared" si="110"/>
        <v>2015</v>
      </c>
      <c r="AH70" s="6">
        <f t="shared" si="111"/>
        <v>0.2167341115317967</v>
      </c>
      <c r="AI70" s="7"/>
      <c r="AJ70" s="6">
        <f t="shared" si="112"/>
        <v>0.156585480325238</v>
      </c>
      <c r="AK70" s="6">
        <f t="shared" si="113"/>
        <v>9.3841664196148922E-2</v>
      </c>
      <c r="AL70" s="7"/>
      <c r="AM70" s="6">
        <f t="shared" si="114"/>
        <v>0.12697545369971067</v>
      </c>
      <c r="AN70" s="6">
        <f t="shared" si="115"/>
        <v>0.40586329024710566</v>
      </c>
      <c r="AO70" s="6">
        <f t="shared" si="116"/>
        <v>0.99999999999999989</v>
      </c>
      <c r="AP70" s="7">
        <f t="shared" si="117"/>
        <v>0.59413670975289423</v>
      </c>
      <c r="AQ70" s="7">
        <f t="shared" si="118"/>
        <v>0</v>
      </c>
      <c r="AR70" s="24"/>
      <c r="AS70">
        <f t="shared" ref="AS70" si="145">AG70</f>
        <v>2015</v>
      </c>
      <c r="AT70" s="1" t="b">
        <f t="shared" ref="AT70" si="146">AND((S70/$Z70)&gt;0.15,(S70/$Z70)&lt;0.25)</f>
        <v>1</v>
      </c>
      <c r="AV70" s="1" t="b">
        <f t="shared" si="60"/>
        <v>1</v>
      </c>
      <c r="AW70" s="1" t="b">
        <f t="shared" ref="AW70" si="147">AND((V70/$Z70)&gt;0.05,(V70/$Z70)&lt;0.15)</f>
        <v>1</v>
      </c>
      <c r="AY70" s="1" t="b">
        <f t="shared" si="47"/>
        <v>1</v>
      </c>
      <c r="AZ70" s="1" t="b">
        <f t="shared" si="38"/>
        <v>1</v>
      </c>
      <c r="BA70" s="1" t="b">
        <f t="shared" ref="BA70" si="148">AND((Z70/$Z70)&gt;0.999,(Z70/$Z70)&lt;1.01)</f>
        <v>1</v>
      </c>
      <c r="BC70">
        <f t="shared" ref="BC70" si="149">AS70</f>
        <v>2015</v>
      </c>
      <c r="BD70" s="2">
        <f t="shared" ref="BD70" si="150">S70</f>
        <v>114922.20114310509</v>
      </c>
      <c r="BE70" s="2"/>
      <c r="BF70" s="2">
        <f t="shared" ref="BF70" si="151">U70</f>
        <v>83028.6840352156</v>
      </c>
      <c r="BG70" s="2">
        <f t="shared" ref="BG70" si="152">V70</f>
        <v>49759.082832567292</v>
      </c>
      <c r="BH70" s="2"/>
      <c r="BI70" s="2">
        <f t="shared" ref="BI70" si="153">X70</f>
        <v>67328.112437780073</v>
      </c>
      <c r="BJ70" s="2">
        <f t="shared" ref="BJ70" si="154">Y70</f>
        <v>215207.02186068872</v>
      </c>
      <c r="BK70" s="2">
        <f t="shared" ref="BK70" si="155">Z70</f>
        <v>530245.10230935679</v>
      </c>
      <c r="BL70" s="2">
        <f t="shared" ref="BL70" si="156">SUM(BD70:BJ70)-Z70</f>
        <v>0</v>
      </c>
      <c r="BM70" s="20"/>
    </row>
    <row r="71" spans="1:65" x14ac:dyDescent="0.2">
      <c r="A71">
        <f t="shared" si="8"/>
        <v>2016</v>
      </c>
      <c r="B71" s="2">
        <f>BD70*(1+(B32/100))</f>
        <v>128506.00531822012</v>
      </c>
      <c r="C71" s="2"/>
      <c r="D71" s="2">
        <f t="shared" ref="D71:E73" si="157">BF70*(1+(D32/100))</f>
        <v>92219.959357913962</v>
      </c>
      <c r="E71" s="2">
        <f t="shared" si="157"/>
        <v>58800.308183244764</v>
      </c>
      <c r="F71" s="2"/>
      <c r="G71" s="2">
        <f t="shared" ref="G71:H73" si="158">BI70*(1+(G32/100))</f>
        <v>70458.869666136845</v>
      </c>
      <c r="H71" s="2">
        <f t="shared" si="158"/>
        <v>220587.19740720591</v>
      </c>
      <c r="I71" s="2">
        <f t="shared" ref="I71" si="159">SUM(B71:H71)</f>
        <v>570572.33993272157</v>
      </c>
      <c r="J71" s="2">
        <f t="shared" ref="J71" si="160">I71-I70</f>
        <v>31356.490109536215</v>
      </c>
      <c r="K71" s="83">
        <f t="shared" ref="K71" si="161">(J71/I70)</f>
        <v>5.8152018565141107E-2</v>
      </c>
      <c r="L71" s="7">
        <f t="shared" ref="L71" si="162">K71+1</f>
        <v>1.0581520185651412</v>
      </c>
      <c r="N71">
        <f t="shared" ref="N71" si="163">A71</f>
        <v>2016</v>
      </c>
      <c r="O71" s="2">
        <f t="shared" si="19"/>
        <v>9123.2502215636723</v>
      </c>
      <c r="P71" s="2"/>
      <c r="R71">
        <f t="shared" ref="R71" si="164">A71</f>
        <v>2016</v>
      </c>
      <c r="S71" s="2">
        <f t="shared" ref="S71" si="165">B71-($O71/5)</f>
        <v>126681.35527390739</v>
      </c>
      <c r="T71" s="2"/>
      <c r="U71" s="2">
        <f t="shared" ref="U71" si="166">D71-($O71/5)</f>
        <v>90395.309313601232</v>
      </c>
      <c r="V71" s="2">
        <f t="shared" ref="V71" si="167">E71-($O71/5)</f>
        <v>56975.658138932027</v>
      </c>
      <c r="W71" s="2"/>
      <c r="X71" s="2">
        <f t="shared" ref="X71" si="168">G71-($O71/5)</f>
        <v>68634.219621824115</v>
      </c>
      <c r="Y71" s="2">
        <f t="shared" ref="Y71" si="169">H71-($O71/5)</f>
        <v>218762.54736289318</v>
      </c>
      <c r="Z71" s="2">
        <f t="shared" ref="Z71" si="170">SUM(S71:Y71)</f>
        <v>561449.08971115795</v>
      </c>
      <c r="AA71" s="2">
        <f t="shared" ref="AA71" si="171">Z71-Z70</f>
        <v>31203.987401801161</v>
      </c>
      <c r="AB71" s="83">
        <f t="shared" ref="AB71" si="172">(AA71/Z70)</f>
        <v>5.8848233139541684E-2</v>
      </c>
      <c r="AC71" s="7">
        <f t="shared" ref="AC71" si="173">AB71+1</f>
        <v>1.0588482331395417</v>
      </c>
      <c r="AD71" s="2">
        <f t="shared" ref="AD71" si="174">Z71-(I71-O71)</f>
        <v>0</v>
      </c>
      <c r="AE71" s="2"/>
      <c r="AG71">
        <f t="shared" ref="AG71" si="175">A71</f>
        <v>2016</v>
      </c>
      <c r="AH71" s="6">
        <f t="shared" ref="AH71" si="176">S71/$Z71</f>
        <v>0.22563284471452191</v>
      </c>
      <c r="AI71" s="7"/>
      <c r="AJ71" s="6">
        <f t="shared" ref="AJ71" si="177">U71/$Z71</f>
        <v>0.16100357266605567</v>
      </c>
      <c r="AK71" s="6">
        <f t="shared" ref="AK71" si="178">V71/$Z71</f>
        <v>0.10147965182069067</v>
      </c>
      <c r="AL71" s="7"/>
      <c r="AM71" s="6">
        <f t="shared" ref="AM71" si="179">X71/$Z71</f>
        <v>0.12224477851969365</v>
      </c>
      <c r="AN71" s="6">
        <f t="shared" ref="AN71" si="180">Y71/$Z71</f>
        <v>0.38963915227903806</v>
      </c>
      <c r="AO71" s="6">
        <f t="shared" ref="AO71" si="181">SUM(AH71:AN71)</f>
        <v>1</v>
      </c>
      <c r="AP71" s="7">
        <f t="shared" ref="AP71" si="182">SUM(AH71:AM71)</f>
        <v>0.61036084772096189</v>
      </c>
      <c r="AQ71" s="7">
        <f t="shared" ref="AQ71" si="183">AO71-(AP71+AN71)</f>
        <v>0</v>
      </c>
      <c r="AR71" s="24"/>
      <c r="AS71">
        <f t="shared" ref="AS71" si="184">AG71</f>
        <v>2016</v>
      </c>
      <c r="AT71" s="1" t="b">
        <f t="shared" ref="AT71" si="185">AND((S71/$Z71)&gt;0.15,(S71/$Z71)&lt;0.25)</f>
        <v>1</v>
      </c>
      <c r="AV71" s="1" t="b">
        <f t="shared" si="60"/>
        <v>1</v>
      </c>
      <c r="AW71" s="1" t="b">
        <f t="shared" ref="AW71" si="186">AND((V71/$Z71)&gt;0.05,(V71/$Z71)&lt;0.15)</f>
        <v>1</v>
      </c>
      <c r="AY71" s="1" t="b">
        <f t="shared" si="47"/>
        <v>1</v>
      </c>
      <c r="AZ71" s="1" t="b">
        <f t="shared" si="38"/>
        <v>1</v>
      </c>
      <c r="BA71" s="1" t="b">
        <f t="shared" ref="BA71" si="187">AND((Z71/$Z71)&gt;0.999,(Z71/$Z71)&lt;1.01)</f>
        <v>1</v>
      </c>
      <c r="BC71">
        <f t="shared" ref="BC71" si="188">AS71</f>
        <v>2016</v>
      </c>
      <c r="BD71" s="2">
        <f t="shared" ref="BD71" si="189">S71</f>
        <v>126681.35527390739</v>
      </c>
      <c r="BE71" s="2"/>
      <c r="BF71" s="2">
        <f t="shared" ref="BF71" si="190">U71</f>
        <v>90395.309313601232</v>
      </c>
      <c r="BG71" s="2">
        <f t="shared" ref="BG71" si="191">V71</f>
        <v>56975.658138932027</v>
      </c>
      <c r="BH71" s="2"/>
      <c r="BI71" s="2">
        <f t="shared" ref="BI71" si="192">X71</f>
        <v>68634.219621824115</v>
      </c>
      <c r="BJ71" s="2">
        <f t="shared" ref="BJ71" si="193">Y71</f>
        <v>218762.54736289318</v>
      </c>
      <c r="BK71" s="2">
        <f t="shared" ref="BK71" si="194">Z71</f>
        <v>561449.08971115795</v>
      </c>
      <c r="BL71" s="2">
        <f t="shared" ref="BL71" si="195">SUM(BD71:BJ71)-Z71</f>
        <v>0</v>
      </c>
      <c r="BM71" s="20"/>
    </row>
    <row r="72" spans="1:65" x14ac:dyDescent="0.2">
      <c r="A72">
        <f t="shared" si="8"/>
        <v>2017</v>
      </c>
      <c r="B72" s="2">
        <f>BD71*(1+(B33/100))</f>
        <v>154133.20496176311</v>
      </c>
      <c r="C72" s="2"/>
      <c r="D72" s="2">
        <f t="shared" si="157"/>
        <v>108112.78993906706</v>
      </c>
      <c r="E72" s="2">
        <f t="shared" si="157"/>
        <v>66148.739099300088</v>
      </c>
      <c r="F72" s="2"/>
      <c r="G72" s="2">
        <f t="shared" si="158"/>
        <v>87439.99579820392</v>
      </c>
      <c r="H72" s="2">
        <f t="shared" si="158"/>
        <v>226331.73150164928</v>
      </c>
      <c r="I72" s="2">
        <f>SUM(B72:H72)</f>
        <v>642166.46129998355</v>
      </c>
      <c r="J72" s="2">
        <f>I72-I71</f>
        <v>71594.121367261978</v>
      </c>
      <c r="K72" s="83">
        <f>(J72/I71)</f>
        <v>0.12547772886380001</v>
      </c>
      <c r="L72" s="7">
        <f>K72+1</f>
        <v>1.1254777288638</v>
      </c>
      <c r="N72">
        <f>A72</f>
        <v>2017</v>
      </c>
      <c r="O72" s="2">
        <f t="shared" si="19"/>
        <v>9326.6987015045415</v>
      </c>
      <c r="P72" s="2"/>
      <c r="R72">
        <f>A72</f>
        <v>2017</v>
      </c>
      <c r="S72" s="2">
        <f>B72-($O72/5)</f>
        <v>152267.86522146221</v>
      </c>
      <c r="T72" s="2"/>
      <c r="U72" s="2">
        <f t="shared" ref="U72:V73" si="196">D72-($O72/5)</f>
        <v>106247.45019876615</v>
      </c>
      <c r="V72" s="2">
        <f t="shared" si="196"/>
        <v>64283.399358999181</v>
      </c>
      <c r="W72" s="2"/>
      <c r="X72" s="2">
        <f t="shared" ref="X72:Y73" si="197">G72-($O72/5)</f>
        <v>85574.656057903005</v>
      </c>
      <c r="Y72" s="2">
        <f t="shared" si="197"/>
        <v>224466.39176134838</v>
      </c>
      <c r="Z72" s="2">
        <f>SUM(S72:Y72)</f>
        <v>632839.76259847893</v>
      </c>
      <c r="AA72" s="2">
        <f>Z72-Z71</f>
        <v>71390.672887320979</v>
      </c>
      <c r="AB72" s="83">
        <f>(AA72/Z71)</f>
        <v>0.12715431228866805</v>
      </c>
      <c r="AC72" s="7">
        <f>AB72+1</f>
        <v>1.127154312288668</v>
      </c>
      <c r="AD72" s="2">
        <f>Z72-(I72-O72)</f>
        <v>0</v>
      </c>
      <c r="AE72" s="2"/>
      <c r="AG72">
        <f>A72</f>
        <v>2017</v>
      </c>
      <c r="AH72" s="6">
        <f>S72/$Z72</f>
        <v>0.24061045816122711</v>
      </c>
      <c r="AI72" s="7"/>
      <c r="AJ72" s="6">
        <f t="shared" ref="AJ72:AK73" si="198">U72/$Z72</f>
        <v>0.1678899722775124</v>
      </c>
      <c r="AK72" s="6">
        <f t="shared" si="198"/>
        <v>0.10157926723037691</v>
      </c>
      <c r="AL72" s="7"/>
      <c r="AM72" s="6">
        <f t="shared" ref="AM72:AN73" si="199">X72/$Z72</f>
        <v>0.13522326047675673</v>
      </c>
      <c r="AN72" s="6">
        <f t="shared" si="199"/>
        <v>0.35469704185412687</v>
      </c>
      <c r="AO72" s="6">
        <f>SUM(AH72:AN72)</f>
        <v>1</v>
      </c>
      <c r="AP72" s="7">
        <f>SUM(AH72:AM72)</f>
        <v>0.64530295814587313</v>
      </c>
      <c r="AQ72" s="7">
        <f>AO72-(AP72+AN72)</f>
        <v>0</v>
      </c>
      <c r="AR72" s="24"/>
      <c r="AS72">
        <f>AG72</f>
        <v>2017</v>
      </c>
      <c r="AT72" s="1" t="b">
        <f>AND((S72/$Z72)&gt;0.15,(S72/$Z72)&lt;0.25)</f>
        <v>1</v>
      </c>
      <c r="AV72" s="1" t="b">
        <f t="shared" si="60"/>
        <v>1</v>
      </c>
      <c r="AW72" s="1" t="b">
        <f>AND((V72/$Z72)&gt;0.05,(V72/$Z72)&lt;0.15)</f>
        <v>1</v>
      </c>
      <c r="AY72" s="1" t="b">
        <f t="shared" si="47"/>
        <v>1</v>
      </c>
      <c r="AZ72" s="1" t="b">
        <f t="shared" si="38"/>
        <v>1</v>
      </c>
      <c r="BA72" s="1" t="b">
        <f>AND((Z72/$Z72)&gt;0.999,(Z72/$Z72)&lt;1.01)</f>
        <v>1</v>
      </c>
      <c r="BC72">
        <f>AS72</f>
        <v>2017</v>
      </c>
      <c r="BD72" s="2">
        <f>S72</f>
        <v>152267.86522146221</v>
      </c>
      <c r="BE72" s="2"/>
      <c r="BF72" s="2">
        <f t="shared" ref="BF72:BG73" si="200">U72</f>
        <v>106247.45019876615</v>
      </c>
      <c r="BG72" s="2">
        <f t="shared" si="200"/>
        <v>64283.399358999181</v>
      </c>
      <c r="BH72" s="2"/>
      <c r="BI72" s="2">
        <f t="shared" ref="BI72:BK73" si="201">X72</f>
        <v>85574.656057903005</v>
      </c>
      <c r="BJ72" s="2">
        <f t="shared" si="201"/>
        <v>224466.39176134838</v>
      </c>
      <c r="BK72" s="2">
        <f t="shared" si="201"/>
        <v>632839.76259847893</v>
      </c>
      <c r="BL72" s="2">
        <f>SUM(BD72:BJ72)-Z72</f>
        <v>0</v>
      </c>
      <c r="BM72" s="20"/>
    </row>
    <row r="73" spans="1:65" x14ac:dyDescent="0.2">
      <c r="A73">
        <f t="shared" si="8"/>
        <v>2018</v>
      </c>
      <c r="B73" s="2">
        <f>BD72*(1+(B34/100))</f>
        <v>145415.81128649641</v>
      </c>
      <c r="C73" s="2"/>
      <c r="D73" s="2">
        <f t="shared" si="157"/>
        <v>96366.437330280896</v>
      </c>
      <c r="E73" s="2">
        <f t="shared" si="157"/>
        <v>58240.759819253261</v>
      </c>
      <c r="F73" s="2"/>
      <c r="G73" s="2">
        <f t="shared" si="158"/>
        <v>73166.330929507065</v>
      </c>
      <c r="H73" s="2">
        <f t="shared" si="158"/>
        <v>224241.92536958703</v>
      </c>
      <c r="I73" s="2">
        <f>SUM(B73:H73)</f>
        <v>597431.26473512466</v>
      </c>
      <c r="J73" s="2">
        <f>I73-I72</f>
        <v>-44735.196564858896</v>
      </c>
      <c r="K73" s="83">
        <f>(J73/I72)</f>
        <v>-6.9662928945710176E-2</v>
      </c>
      <c r="L73" s="7">
        <f>K73+1</f>
        <v>0.93033707105428987</v>
      </c>
      <c r="N73">
        <f>A73</f>
        <v>2018</v>
      </c>
      <c r="O73" s="2">
        <f t="shared" si="19"/>
        <v>9532.7138277670056</v>
      </c>
      <c r="P73" s="2"/>
      <c r="R73">
        <f>A73</f>
        <v>2018</v>
      </c>
      <c r="S73" s="2">
        <f>B73-($O73/5)</f>
        <v>143509.26852094301</v>
      </c>
      <c r="T73" s="2"/>
      <c r="U73" s="2">
        <f t="shared" si="196"/>
        <v>94459.894564727496</v>
      </c>
      <c r="V73" s="2">
        <f t="shared" si="196"/>
        <v>56334.21705369986</v>
      </c>
      <c r="W73" s="2"/>
      <c r="X73" s="2">
        <f t="shared" si="197"/>
        <v>71259.788163953664</v>
      </c>
      <c r="Y73" s="2">
        <f t="shared" si="197"/>
        <v>222335.38260403363</v>
      </c>
      <c r="Z73" s="2">
        <f>SUM(S73:Y73)</f>
        <v>587898.5509073576</v>
      </c>
      <c r="AA73" s="2">
        <f>Z73-Z72</f>
        <v>-44941.211691121338</v>
      </c>
      <c r="AB73" s="83">
        <f>(AA73/Z72)</f>
        <v>-7.1015151618460198E-2</v>
      </c>
      <c r="AC73" s="7">
        <f>AB73+1</f>
        <v>0.92898484838153983</v>
      </c>
      <c r="AD73" s="2">
        <f>Z73-(I73-O73)</f>
        <v>0</v>
      </c>
      <c r="AE73" s="2"/>
      <c r="AG73">
        <f>A73</f>
        <v>2018</v>
      </c>
      <c r="AH73" s="6">
        <f>S73/$Z73</f>
        <v>0.2441054979629598</v>
      </c>
      <c r="AI73" s="7"/>
      <c r="AJ73" s="6">
        <f t="shared" si="198"/>
        <v>0.16067380063947923</v>
      </c>
      <c r="AK73" s="6">
        <f t="shared" si="198"/>
        <v>9.5823024171014043E-2</v>
      </c>
      <c r="AL73" s="7"/>
      <c r="AM73" s="6">
        <f t="shared" si="199"/>
        <v>0.12121102876333326</v>
      </c>
      <c r="AN73" s="6">
        <f t="shared" si="199"/>
        <v>0.37818664846321376</v>
      </c>
      <c r="AO73" s="6">
        <f>SUM(AH73:AN73)</f>
        <v>1</v>
      </c>
      <c r="AP73" s="7">
        <f>SUM(AH73:AM73)</f>
        <v>0.6218133515367863</v>
      </c>
      <c r="AQ73" s="7">
        <f>AO73-(AP73+AN73)</f>
        <v>0</v>
      </c>
      <c r="AR73" s="24"/>
      <c r="AS73">
        <f>AG73</f>
        <v>2018</v>
      </c>
      <c r="AT73" s="1" t="b">
        <f>AND((S73/$Z73)&gt;0.15,(S73/$Z73)&lt;0.25)</f>
        <v>1</v>
      </c>
      <c r="AV73" s="1" t="b">
        <f t="shared" si="60"/>
        <v>1</v>
      </c>
      <c r="AW73" s="1" t="b">
        <f>AND((V73/$Z73)&gt;0.05,(V73/$Z73)&lt;0.15)</f>
        <v>1</v>
      </c>
      <c r="AY73" s="1" t="b">
        <f t="shared" si="47"/>
        <v>1</v>
      </c>
      <c r="AZ73" s="1" t="b">
        <f t="shared" si="38"/>
        <v>1</v>
      </c>
      <c r="BA73" s="1" t="b">
        <f>AND((Z73/$Z73)&gt;0.999,(Z73/$Z73)&lt;1.01)</f>
        <v>1</v>
      </c>
      <c r="BC73">
        <f>AS73</f>
        <v>2018</v>
      </c>
      <c r="BD73" s="2">
        <f>S73</f>
        <v>143509.26852094301</v>
      </c>
      <c r="BE73" s="2"/>
      <c r="BF73" s="2">
        <f t="shared" si="200"/>
        <v>94459.894564727496</v>
      </c>
      <c r="BG73" s="2">
        <f t="shared" si="200"/>
        <v>56334.21705369986</v>
      </c>
      <c r="BH73" s="2"/>
      <c r="BI73" s="2">
        <f t="shared" si="201"/>
        <v>71259.788163953664</v>
      </c>
      <c r="BJ73" s="2">
        <f t="shared" si="201"/>
        <v>222335.38260403363</v>
      </c>
      <c r="BK73" s="2">
        <f t="shared" si="201"/>
        <v>587898.5509073576</v>
      </c>
      <c r="BL73" s="2">
        <f>SUM(BD73:BJ73)-Z73</f>
        <v>0</v>
      </c>
      <c r="BM73" s="20"/>
    </row>
    <row r="74" spans="1:65" x14ac:dyDescent="0.2">
      <c r="A74">
        <f t="shared" ref="A74:A75" si="202">A35</f>
        <v>2019</v>
      </c>
      <c r="B74" s="2">
        <f t="shared" ref="B74:B75" si="203">BD73*(1+(B35/100))</f>
        <v>188651.54402689083</v>
      </c>
      <c r="C74" s="2"/>
      <c r="D74" s="2">
        <f t="shared" ref="D74:E74" si="204">BF73*(1+(D35/100))</f>
        <v>123772.31120647548</v>
      </c>
      <c r="E74" s="2">
        <f t="shared" si="204"/>
        <v>71751.427571654116</v>
      </c>
      <c r="F74" s="2"/>
      <c r="G74" s="2">
        <f t="shared" ref="G74:H74" si="205">BI73*(1+(G35/100))</f>
        <v>86586.343402256811</v>
      </c>
      <c r="H74" s="2">
        <f t="shared" si="205"/>
        <v>241709.68784414913</v>
      </c>
      <c r="I74" s="2">
        <f t="shared" ref="I74:I75" si="206">SUM(B74:H74)</f>
        <v>712471.31405142648</v>
      </c>
      <c r="J74" s="2">
        <f t="shared" ref="J74:J75" si="207">I74-I73</f>
        <v>115040.04931630183</v>
      </c>
      <c r="K74" s="83">
        <f t="shared" ref="K74:K75" si="208">(J74/I73)</f>
        <v>0.19255779887466323</v>
      </c>
      <c r="L74" s="7">
        <f t="shared" ref="L74:L75" si="209">K74+1</f>
        <v>1.1925577988746632</v>
      </c>
      <c r="N74">
        <f t="shared" ref="N74:N75" si="210">A74</f>
        <v>2019</v>
      </c>
      <c r="O74" s="2">
        <f t="shared" ref="O74:O75" si="211">O73*(1+O35)</f>
        <v>9750.6600396149061</v>
      </c>
      <c r="P74" s="2"/>
      <c r="R74">
        <f t="shared" ref="R74:R75" si="212">A74</f>
        <v>2019</v>
      </c>
      <c r="S74" s="2">
        <f t="shared" ref="S74:S75" si="213">B74-($O74/5)</f>
        <v>186701.41201896785</v>
      </c>
      <c r="T74" s="2"/>
      <c r="U74" s="2">
        <f t="shared" ref="U74:U75" si="214">D74-($O74/5)</f>
        <v>121822.17919855251</v>
      </c>
      <c r="V74" s="2">
        <f t="shared" ref="V74:V75" si="215">E74-($O74/5)</f>
        <v>69801.295563731139</v>
      </c>
      <c r="W74" s="2"/>
      <c r="X74" s="2">
        <f t="shared" ref="X74:X75" si="216">G74-($O74/5)</f>
        <v>84636.211394333834</v>
      </c>
      <c r="Y74" s="2">
        <f t="shared" ref="Y74:Y75" si="217">H74-($O74/5)</f>
        <v>239759.55583622615</v>
      </c>
      <c r="Z74" s="2">
        <f t="shared" ref="Z74:Z75" si="218">SUM(S74:Y74)</f>
        <v>702720.6540118116</v>
      </c>
      <c r="AA74" s="2">
        <f t="shared" ref="AA74:AA75" si="219">Z74-Z73</f>
        <v>114822.103104454</v>
      </c>
      <c r="AB74" s="83">
        <f t="shared" ref="AB74:AB75" si="220">(AA74/Z73)</f>
        <v>0.19530938276210844</v>
      </c>
      <c r="AC74" s="7">
        <f t="shared" ref="AC74:AC75" si="221">AB74+1</f>
        <v>1.1953093827621084</v>
      </c>
      <c r="AD74" s="2">
        <f t="shared" ref="AD74:AD75" si="222">Z74-(I74-O74)</f>
        <v>0</v>
      </c>
      <c r="AE74" s="2"/>
      <c r="AG74">
        <f t="shared" ref="AG74:AG75" si="223">A74</f>
        <v>2019</v>
      </c>
      <c r="AH74" s="6">
        <f t="shared" ref="AH74:AH75" si="224">S74/$Z74</f>
        <v>0.26568368376978102</v>
      </c>
      <c r="AI74" s="7"/>
      <c r="AJ74" s="6">
        <f t="shared" ref="AJ74:AJ75" si="225">U74/$Z74</f>
        <v>0.17335790331915429</v>
      </c>
      <c r="AK74" s="6">
        <f t="shared" ref="AK74:AK75" si="226">V74/$Z74</f>
        <v>9.9330075422200265E-2</v>
      </c>
      <c r="AL74" s="7"/>
      <c r="AM74" s="6">
        <f t="shared" ref="AM74:AM75" si="227">X74/$Z74</f>
        <v>0.12044076250092862</v>
      </c>
      <c r="AN74" s="6">
        <f t="shared" ref="AN74:AN75" si="228">Y74/$Z74</f>
        <v>0.34118757498793567</v>
      </c>
      <c r="AO74" s="6">
        <f t="shared" ref="AO74:AO75" si="229">SUM(AH74:AN74)</f>
        <v>0.99999999999999978</v>
      </c>
      <c r="AP74" s="7">
        <f t="shared" ref="AP74:AP75" si="230">SUM(AH74:AM74)</f>
        <v>0.65881242501206416</v>
      </c>
      <c r="AQ74" s="7">
        <f t="shared" ref="AQ74:AQ75" si="231">AO74-(AP74+AN74)</f>
        <v>0</v>
      </c>
      <c r="AR74" s="24"/>
      <c r="AS74">
        <f t="shared" ref="AS74:AS75" si="232">AG74</f>
        <v>2019</v>
      </c>
      <c r="AT74" s="39" t="b">
        <f t="shared" ref="AT74" si="233">AND((S74/$Z74)&gt;0.15,(S74/$Z74)&lt;0.25)</f>
        <v>0</v>
      </c>
      <c r="AV74" s="1" t="b">
        <f t="shared" si="60"/>
        <v>1</v>
      </c>
      <c r="AW74" s="1" t="b">
        <f t="shared" ref="AW74:AW75" si="234">AND((V74/$Z74)&gt;0.05,(V74/$Z74)&lt;0.15)</f>
        <v>1</v>
      </c>
      <c r="AY74" s="1" t="b">
        <f t="shared" si="47"/>
        <v>1</v>
      </c>
      <c r="AZ74" s="39" t="b">
        <f t="shared" si="38"/>
        <v>0</v>
      </c>
      <c r="BA74" s="1" t="b">
        <f t="shared" ref="BA74:BA75" si="235">AND((Z74/$Z74)&gt;0.999,(Z74/$Z74)&lt;1.01)</f>
        <v>1</v>
      </c>
      <c r="BC74">
        <f t="shared" ref="BC74:BC75" si="236">AS74</f>
        <v>2019</v>
      </c>
      <c r="BD74" s="27">
        <f>$BK74*BD$42</f>
        <v>140544.13080236231</v>
      </c>
      <c r="BE74" s="2"/>
      <c r="BF74" s="27">
        <f t="shared" ref="BF74:BG74" si="237">$BK74*BF$42</f>
        <v>105408.09810177174</v>
      </c>
      <c r="BG74" s="27">
        <f t="shared" si="237"/>
        <v>70272.065401181157</v>
      </c>
      <c r="BH74" s="2"/>
      <c r="BI74" s="27">
        <f>$BK74*BI$42</f>
        <v>105408.09810177174</v>
      </c>
      <c r="BJ74" s="27">
        <f t="shared" ref="BJ74" si="238">$BK74*BJ$42</f>
        <v>281088.26160472463</v>
      </c>
      <c r="BK74" s="2">
        <f t="shared" ref="BK74:BK75" si="239">Z74</f>
        <v>702720.6540118116</v>
      </c>
      <c r="BL74" s="2">
        <f t="shared" ref="BL74:BL75" si="240">SUM(BD74:BJ74)-Z74</f>
        <v>0</v>
      </c>
      <c r="BM74" s="20"/>
    </row>
    <row r="75" spans="1:65" x14ac:dyDescent="0.2">
      <c r="A75">
        <f t="shared" si="202"/>
        <v>2020</v>
      </c>
      <c r="B75" s="2">
        <f t="shared" si="203"/>
        <v>166362.08763075626</v>
      </c>
      <c r="C75" s="2"/>
      <c r="D75" s="2">
        <f t="shared" ref="D75:E75" si="241">BF74*(1+(D36/100))</f>
        <v>124634.5351955349</v>
      </c>
      <c r="E75" s="2">
        <f t="shared" si="241"/>
        <v>83701.057099346872</v>
      </c>
      <c r="F75" s="2"/>
      <c r="G75" s="2">
        <f t="shared" ref="G75:H75" si="242">BI74*(1+(G36/100))</f>
        <v>117298.1315676516</v>
      </c>
      <c r="H75" s="2">
        <f t="shared" si="242"/>
        <v>302788.27540060936</v>
      </c>
      <c r="I75" s="2">
        <f t="shared" si="206"/>
        <v>794784.0868938989</v>
      </c>
      <c r="J75" s="2">
        <f t="shared" si="207"/>
        <v>82312.772842472419</v>
      </c>
      <c r="K75" s="83">
        <f t="shared" si="208"/>
        <v>0.11553135013170657</v>
      </c>
      <c r="L75" s="7">
        <f t="shared" si="209"/>
        <v>1.1155313501317066</v>
      </c>
      <c r="N75">
        <f t="shared" si="210"/>
        <v>2020</v>
      </c>
      <c r="O75" s="2">
        <f t="shared" si="211"/>
        <v>9861.7013599672828</v>
      </c>
      <c r="P75" s="2"/>
      <c r="R75">
        <f t="shared" si="212"/>
        <v>2020</v>
      </c>
      <c r="S75" s="2">
        <f t="shared" si="213"/>
        <v>164389.7473587628</v>
      </c>
      <c r="T75" s="2"/>
      <c r="U75" s="2">
        <f t="shared" si="214"/>
        <v>122662.19492354145</v>
      </c>
      <c r="V75" s="2">
        <f t="shared" si="215"/>
        <v>81728.716827353419</v>
      </c>
      <c r="W75" s="2"/>
      <c r="X75" s="2">
        <f t="shared" si="216"/>
        <v>115325.79129565814</v>
      </c>
      <c r="Y75" s="2">
        <f t="shared" si="217"/>
        <v>300815.93512861588</v>
      </c>
      <c r="Z75" s="2">
        <f t="shared" si="218"/>
        <v>784922.38553393167</v>
      </c>
      <c r="AA75" s="2">
        <f t="shared" si="219"/>
        <v>82201.73152212007</v>
      </c>
      <c r="AB75" s="83">
        <f t="shared" si="220"/>
        <v>0.11697639887604384</v>
      </c>
      <c r="AC75" s="7">
        <f t="shared" si="221"/>
        <v>1.1169763988760439</v>
      </c>
      <c r="AD75" s="2">
        <f t="shared" si="222"/>
        <v>0</v>
      </c>
      <c r="AE75" s="2"/>
      <c r="AG75">
        <f t="shared" si="223"/>
        <v>2020</v>
      </c>
      <c r="AH75" s="6">
        <f t="shared" si="224"/>
        <v>0.20943439808630143</v>
      </c>
      <c r="AI75" s="7"/>
      <c r="AJ75" s="6">
        <f t="shared" si="225"/>
        <v>0.15627302416671723</v>
      </c>
      <c r="AK75" s="6">
        <f t="shared" si="226"/>
        <v>0.10412330993943902</v>
      </c>
      <c r="AL75" s="7"/>
      <c r="AM75" s="6">
        <f t="shared" si="227"/>
        <v>0.14692636293868661</v>
      </c>
      <c r="AN75" s="6">
        <f t="shared" si="228"/>
        <v>0.38324290486885576</v>
      </c>
      <c r="AO75" s="6">
        <f t="shared" si="229"/>
        <v>1</v>
      </c>
      <c r="AP75" s="7">
        <f t="shared" si="230"/>
        <v>0.6167570951311443</v>
      </c>
      <c r="AQ75" s="7">
        <f t="shared" si="231"/>
        <v>0</v>
      </c>
      <c r="AR75" s="24"/>
      <c r="AS75">
        <f t="shared" si="232"/>
        <v>2020</v>
      </c>
      <c r="AT75" s="1" t="b">
        <f t="shared" ref="AT75" si="243">AND((S75/$Z75)&gt;0.15,(S75/$Z75)&lt;0.25)</f>
        <v>1</v>
      </c>
      <c r="AV75" s="1" t="b">
        <f t="shared" si="60"/>
        <v>1</v>
      </c>
      <c r="AW75" s="1" t="b">
        <f t="shared" si="234"/>
        <v>1</v>
      </c>
      <c r="AY75" s="1" t="b">
        <f t="shared" si="47"/>
        <v>1</v>
      </c>
      <c r="AZ75" s="1" t="b">
        <f t="shared" si="38"/>
        <v>1</v>
      </c>
      <c r="BA75" s="1" t="b">
        <f t="shared" si="235"/>
        <v>1</v>
      </c>
      <c r="BC75">
        <f t="shared" si="236"/>
        <v>2020</v>
      </c>
      <c r="BD75" s="2">
        <f t="shared" ref="BD75" si="244">S75</f>
        <v>164389.7473587628</v>
      </c>
      <c r="BE75" s="2"/>
      <c r="BF75" s="2">
        <f t="shared" ref="BF75" si="245">U75</f>
        <v>122662.19492354145</v>
      </c>
      <c r="BG75" s="2">
        <f t="shared" ref="BG75" si="246">V75</f>
        <v>81728.716827353419</v>
      </c>
      <c r="BH75" s="2"/>
      <c r="BI75" s="2">
        <f t="shared" ref="BI75" si="247">X75</f>
        <v>115325.79129565814</v>
      </c>
      <c r="BJ75" s="2">
        <f t="shared" ref="BJ75" si="248">Y75</f>
        <v>300815.93512861588</v>
      </c>
      <c r="BK75" s="2">
        <f t="shared" si="239"/>
        <v>784922.38553393167</v>
      </c>
      <c r="BL75" s="2">
        <f t="shared" si="240"/>
        <v>0</v>
      </c>
      <c r="BM75" s="20"/>
    </row>
    <row r="76" spans="1:65" x14ac:dyDescent="0.2">
      <c r="A76" s="9" t="s">
        <v>94</v>
      </c>
      <c r="B76" s="10">
        <f>BD75</f>
        <v>164389.7473587628</v>
      </c>
      <c r="C76" s="10"/>
      <c r="D76" s="10">
        <f>BF75</f>
        <v>122662.19492354145</v>
      </c>
      <c r="E76" s="10">
        <f>BG75</f>
        <v>81728.716827353419</v>
      </c>
      <c r="F76" s="10"/>
      <c r="G76" s="10">
        <f>BI75</f>
        <v>115325.79129565814</v>
      </c>
      <c r="H76" s="10">
        <f>BJ75</f>
        <v>300815.93512861588</v>
      </c>
      <c r="I76" s="10">
        <f>SUM(B76:H76)</f>
        <v>784922.38553393167</v>
      </c>
      <c r="J76" s="10"/>
      <c r="K76" s="10"/>
      <c r="L76" s="74"/>
      <c r="N76" t="s">
        <v>156</v>
      </c>
      <c r="O76" s="2">
        <f>O75</f>
        <v>9861.7013599672828</v>
      </c>
      <c r="P76" s="2"/>
      <c r="R76" s="9" t="s">
        <v>94</v>
      </c>
      <c r="S76" s="10">
        <f>S75</f>
        <v>164389.7473587628</v>
      </c>
      <c r="T76" s="10"/>
      <c r="U76" s="10">
        <f>U75</f>
        <v>122662.19492354145</v>
      </c>
      <c r="V76" s="10">
        <f>V75</f>
        <v>81728.716827353419</v>
      </c>
      <c r="W76" s="10"/>
      <c r="X76" s="10">
        <f>X75</f>
        <v>115325.79129565814</v>
      </c>
      <c r="Y76" s="10">
        <f>Y75</f>
        <v>300815.93512861588</v>
      </c>
      <c r="Z76" s="10">
        <f>SUM(S76:Y76)</f>
        <v>784922.38553393167</v>
      </c>
      <c r="AA76" s="10"/>
      <c r="AB76" s="10"/>
      <c r="AC76" s="74"/>
      <c r="AD76" s="10"/>
      <c r="AE76" s="43"/>
      <c r="AG76" s="74" t="s">
        <v>132</v>
      </c>
      <c r="AH76" s="88">
        <f>AH75</f>
        <v>0.20943439808630143</v>
      </c>
      <c r="AI76" s="74"/>
      <c r="AJ76" s="88">
        <f>AJ75</f>
        <v>0.15627302416671723</v>
      </c>
      <c r="AK76" s="74"/>
      <c r="AL76" s="74"/>
      <c r="AM76" s="88">
        <f>AM75</f>
        <v>0.14692636293868661</v>
      </c>
      <c r="AN76" s="88">
        <f>AN75</f>
        <v>0.38324290486885576</v>
      </c>
      <c r="AO76" s="88">
        <f>AO75</f>
        <v>1</v>
      </c>
      <c r="AP76" s="88">
        <f>AP75</f>
        <v>0.6167570951311443</v>
      </c>
      <c r="AQ76" s="88">
        <f>AQ75</f>
        <v>0</v>
      </c>
      <c r="BC76" s="21"/>
      <c r="BD76" s="22"/>
      <c r="BF76" s="22"/>
      <c r="BG76" s="22"/>
      <c r="BI76" s="22"/>
      <c r="BJ76" s="22"/>
    </row>
    <row r="77" spans="1:65" x14ac:dyDescent="0.2">
      <c r="A77" s="11" t="s">
        <v>157</v>
      </c>
      <c r="I77" s="6">
        <f>(Z76-Z42)/Z42</f>
        <v>6.849223855339317</v>
      </c>
      <c r="K77" s="6"/>
      <c r="N77" t="s">
        <v>67</v>
      </c>
      <c r="O77" s="2">
        <f>SUM(O43:O75)</f>
        <v>240299.09094661573</v>
      </c>
      <c r="P77" s="2"/>
      <c r="AB77" s="6"/>
      <c r="AJ77" s="7"/>
      <c r="BC77" s="21" t="s">
        <v>145</v>
      </c>
      <c r="BD77">
        <f>COUNT(BD47,BD51,BD53,BD57:BD58,BD61,BD63:BD64,BD68,BD74)</f>
        <v>10</v>
      </c>
      <c r="BF77" s="22"/>
    </row>
    <row r="78" spans="1:65" x14ac:dyDescent="0.2">
      <c r="A78" s="1" t="s">
        <v>158</v>
      </c>
      <c r="I78" s="12">
        <f>STDEV(AC43:AC75)</f>
        <v>0.10200058936241135</v>
      </c>
      <c r="AK78" s="89"/>
      <c r="AL78" s="89"/>
      <c r="AM78" s="90" t="s">
        <v>134</v>
      </c>
      <c r="AN78" s="89" t="b">
        <f>IF((AN75=AN76),TRUE,FALSE)</f>
        <v>1</v>
      </c>
      <c r="AO78" s="89"/>
      <c r="AP78" s="91" t="b">
        <f>IF(((SUM(AH75:AM75))=AP76),TRUE,FALSE)</f>
        <v>1</v>
      </c>
    </row>
    <row r="79" spans="1:65" x14ac:dyDescent="0.2">
      <c r="A79" s="1" t="s">
        <v>159</v>
      </c>
      <c r="I79" s="13">
        <f>((1+I77)^(1/I86))-1</f>
        <v>6.4427193218242751E-2</v>
      </c>
    </row>
    <row r="80" spans="1:65" x14ac:dyDescent="0.2">
      <c r="A80" s="1" t="s">
        <v>98</v>
      </c>
      <c r="I80" s="31">
        <f>J63</f>
        <v>-96353.282506677904</v>
      </c>
      <c r="O80" s="2"/>
      <c r="P80" s="2"/>
    </row>
    <row r="81" spans="1:26" x14ac:dyDescent="0.2">
      <c r="A81" s="1" t="s">
        <v>136</v>
      </c>
      <c r="I81" s="32">
        <f>K63</f>
        <v>-0.23339600708126398</v>
      </c>
    </row>
    <row r="82" spans="1:26" x14ac:dyDescent="0.2">
      <c r="A82" s="1" t="s">
        <v>103</v>
      </c>
      <c r="I82" s="2">
        <f>O77</f>
        <v>240299.09094661573</v>
      </c>
    </row>
    <row r="83" spans="1:26" x14ac:dyDescent="0.2">
      <c r="A83" s="3" t="s">
        <v>165</v>
      </c>
      <c r="B83" s="3"/>
      <c r="C83" s="3"/>
      <c r="D83" s="3"/>
      <c r="E83" s="3"/>
      <c r="F83" s="3"/>
      <c r="G83" s="3"/>
      <c r="H83" s="3"/>
      <c r="I83" s="33">
        <f>I76-Z76</f>
        <v>0</v>
      </c>
      <c r="Z83" s="2"/>
    </row>
    <row r="84" spans="1:26" x14ac:dyDescent="0.2">
      <c r="A84" s="3" t="s">
        <v>138</v>
      </c>
      <c r="B84" s="3"/>
      <c r="C84" s="3"/>
      <c r="D84" s="3"/>
      <c r="E84" s="3"/>
      <c r="F84" s="3"/>
      <c r="G84" s="3"/>
      <c r="H84" s="3"/>
      <c r="I84" s="33">
        <f>((SUM(AA43:AA75)))-(I76-I42)</f>
        <v>0</v>
      </c>
    </row>
    <row r="85" spans="1:26" x14ac:dyDescent="0.2">
      <c r="A85" s="3" t="s">
        <v>160</v>
      </c>
      <c r="B85" s="3"/>
      <c r="C85" s="3"/>
      <c r="D85" s="3"/>
      <c r="E85" s="3"/>
      <c r="F85" s="3"/>
      <c r="G85" s="3"/>
      <c r="H85" s="3"/>
      <c r="I85" s="33">
        <f>(SUM(O43:O75))-I82</f>
        <v>0</v>
      </c>
      <c r="Z85" s="73"/>
    </row>
    <row r="86" spans="1:26" x14ac:dyDescent="0.2">
      <c r="A86" s="3" t="s">
        <v>139</v>
      </c>
      <c r="B86" s="3"/>
      <c r="C86" s="3"/>
      <c r="D86" s="3"/>
      <c r="E86" s="3"/>
      <c r="F86" s="3"/>
      <c r="G86" s="3"/>
      <c r="H86" s="3"/>
      <c r="I86" s="75">
        <f>COUNTA(I43:I75)</f>
        <v>33</v>
      </c>
    </row>
    <row r="87" spans="1:26" x14ac:dyDescent="0.2">
      <c r="B87" s="63"/>
      <c r="C87" s="63"/>
      <c r="D87" s="63"/>
      <c r="E87" s="63"/>
      <c r="G87" s="63"/>
      <c r="H87" s="63"/>
      <c r="I87" s="63"/>
    </row>
    <row r="88" spans="1:26" x14ac:dyDescent="0.2">
      <c r="B88" s="2"/>
      <c r="D88" s="2"/>
      <c r="E88" s="2"/>
      <c r="G88" s="2"/>
      <c r="H88" s="2"/>
      <c r="I88"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88"/>
  <sheetViews>
    <sheetView topLeftCell="A34" zoomScaleNormal="100" workbookViewId="0">
      <selection activeCell="B42" sqref="B42:H42"/>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4" spans="1:65" x14ac:dyDescent="0.2">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 Withdrawals-No Rebalancing'!N34</f>
        <v>2018</v>
      </c>
      <c r="O34" s="50">
        <f>'4% Withdrawals-No Rebalancing'!O34</f>
        <v>2.2088751106458498E-2</v>
      </c>
    </row>
    <row r="35" spans="1:65" x14ac:dyDescent="0.2">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 Withdrawals-No Rebalancing'!N35</f>
        <v>2019</v>
      </c>
      <c r="O35" s="50">
        <f>'4% Withdrawals-No Rebalancing'!O35</f>
        <v>2.2862976460393248E-2</v>
      </c>
    </row>
    <row r="36" spans="1:65" x14ac:dyDescent="0.2">
      <c r="A36" s="17">
        <f>'Non-Rebalanced Portfolio'!A36</f>
        <v>2020</v>
      </c>
      <c r="B36" s="17">
        <f>'Non-Rebalanced Portfolio'!B36</f>
        <v>18.37</v>
      </c>
      <c r="C36" s="17"/>
      <c r="D36" s="17">
        <f>'Non-Rebalanced Portfolio'!D36</f>
        <v>18.239999999999998</v>
      </c>
      <c r="E36" s="17">
        <f>'Non-Rebalanced Portfolio'!E36</f>
        <v>19.11</v>
      </c>
      <c r="F36" s="17"/>
      <c r="G36" s="17">
        <f>'Non-Rebalanced Portfolio'!G36</f>
        <v>11.28</v>
      </c>
      <c r="H36" s="17">
        <f>'Non-Rebalanced Portfolio'!H36</f>
        <v>7.72</v>
      </c>
      <c r="N36" s="49">
        <f>'4% Withdrawals-No Rebalancing'!N36</f>
        <v>2020</v>
      </c>
      <c r="O36" s="50">
        <f>'4% Withdrawals-No Rebalancing'!O36</f>
        <v>1.1388082437623485E-2</v>
      </c>
    </row>
    <row r="39" spans="1:65" x14ac:dyDescent="0.2">
      <c r="A39" s="20" t="s">
        <v>166</v>
      </c>
      <c r="N39" s="20" t="s">
        <v>153</v>
      </c>
      <c r="R39" s="20" t="s">
        <v>167</v>
      </c>
      <c r="AG39" s="20" t="s">
        <v>168</v>
      </c>
      <c r="AS39" s="20" t="s">
        <v>163</v>
      </c>
      <c r="BC39" s="20" t="s">
        <v>169</v>
      </c>
    </row>
    <row r="40" spans="1:65"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E40" s="5"/>
      <c r="AH40" s="4" t="str">
        <f t="shared" ref="AH40:AN41" si="2">B40</f>
        <v>LC Stocks</v>
      </c>
      <c r="AI40" s="4" t="str">
        <f t="shared" si="2"/>
        <v>Ext Mkt</v>
      </c>
      <c r="AJ40" s="4" t="str">
        <f t="shared" si="2"/>
        <v>Mcap Stk</v>
      </c>
      <c r="AK40" s="4" t="str">
        <f t="shared" si="2"/>
        <v>Small Cap</v>
      </c>
      <c r="AL40" s="4" t="str">
        <f t="shared" si="2"/>
        <v>Intl Val</v>
      </c>
      <c r="AM40" s="4" t="str">
        <f t="shared" si="2"/>
        <v>Tot Int Stk</v>
      </c>
      <c r="AN40" s="4" t="str">
        <f t="shared" si="2"/>
        <v>Bonds</v>
      </c>
      <c r="AO40" s="5"/>
      <c r="AP40" s="5" t="s">
        <v>124</v>
      </c>
      <c r="AQ40" s="5" t="s">
        <v>125</v>
      </c>
      <c r="AT40" s="4" t="str">
        <f t="shared" ref="AT40:AZ42" si="3">AH40</f>
        <v>LC Stocks</v>
      </c>
      <c r="AU40" s="4" t="str">
        <f t="shared" si="3"/>
        <v>Ext Mkt</v>
      </c>
      <c r="AV40" s="4" t="str">
        <f t="shared" si="3"/>
        <v>Mcap Stk</v>
      </c>
      <c r="AW40" s="4" t="str">
        <f t="shared" si="3"/>
        <v>Small Cap</v>
      </c>
      <c r="AX40" s="4" t="str">
        <f t="shared" si="3"/>
        <v>Intl Val</v>
      </c>
      <c r="AY40" s="4" t="str">
        <f t="shared" si="3"/>
        <v>Tot Int Stk</v>
      </c>
      <c r="AZ40" s="4" t="str">
        <f t="shared" si="3"/>
        <v>Bonds</v>
      </c>
      <c r="BA40" s="5"/>
      <c r="BD40" s="4" t="str">
        <f>AT40</f>
        <v>LC Stocks</v>
      </c>
      <c r="BE40" s="4" t="str">
        <f t="shared" ref="BE40:BK42" si="4">AU40</f>
        <v>Ext Mkt</v>
      </c>
      <c r="BF40" s="4" t="str">
        <f t="shared" si="4"/>
        <v>Mcap Stk</v>
      </c>
      <c r="BG40" s="4" t="str">
        <f t="shared" si="4"/>
        <v>Small Cap</v>
      </c>
      <c r="BH40" s="4" t="str">
        <f t="shared" si="4"/>
        <v>Intl Val</v>
      </c>
      <c r="BI40" s="4" t="str">
        <f t="shared" si="4"/>
        <v>Tot Int Stk</v>
      </c>
      <c r="BJ40" s="4" t="str">
        <f t="shared" si="4"/>
        <v>Bonds</v>
      </c>
      <c r="BK40" s="4"/>
      <c r="BL40" t="s">
        <v>144</v>
      </c>
    </row>
    <row r="41" spans="1:65"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E41" s="5"/>
      <c r="AG41" t="s">
        <v>126</v>
      </c>
      <c r="AH41" s="4" t="str">
        <f t="shared" si="2"/>
        <v>VFIAX</v>
      </c>
      <c r="AI41" s="4" t="str">
        <f t="shared" si="2"/>
        <v>VEXMX</v>
      </c>
      <c r="AJ41" s="4" t="str">
        <f t="shared" si="2"/>
        <v>VIMAX</v>
      </c>
      <c r="AK41" s="4" t="str">
        <f t="shared" si="2"/>
        <v>VSMAX</v>
      </c>
      <c r="AL41" s="4" t="str">
        <f t="shared" si="2"/>
        <v>VTRIX</v>
      </c>
      <c r="AM41" s="4" t="str">
        <f t="shared" si="2"/>
        <v>VTIAX</v>
      </c>
      <c r="AN41" s="4" t="str">
        <f t="shared" si="2"/>
        <v>VBTLX</v>
      </c>
      <c r="AO41" s="5" t="s">
        <v>67</v>
      </c>
      <c r="AP41" s="5" t="s">
        <v>125</v>
      </c>
      <c r="AQ41" s="5" t="s">
        <v>129</v>
      </c>
      <c r="AS41" t="str">
        <f>AG41</f>
        <v>Fund</v>
      </c>
      <c r="AT41" s="4" t="str">
        <f t="shared" si="3"/>
        <v>VFIAX</v>
      </c>
      <c r="AU41" s="4" t="str">
        <f t="shared" si="3"/>
        <v>VEXMX</v>
      </c>
      <c r="AV41" s="4" t="str">
        <f t="shared" si="3"/>
        <v>VIMAX</v>
      </c>
      <c r="AW41" s="4" t="str">
        <f t="shared" si="3"/>
        <v>VSMAX</v>
      </c>
      <c r="AX41" s="4" t="str">
        <f t="shared" si="3"/>
        <v>VTRIX</v>
      </c>
      <c r="AY41" s="4" t="str">
        <f t="shared" si="3"/>
        <v>VTIAX</v>
      </c>
      <c r="AZ41" s="4" t="str">
        <f t="shared" si="3"/>
        <v>VBTLX</v>
      </c>
      <c r="BA41" s="4" t="str">
        <f>AO41</f>
        <v>Total</v>
      </c>
      <c r="BC41" t="s">
        <v>126</v>
      </c>
      <c r="BD41" s="4" t="str">
        <f>AT41</f>
        <v>VFIAX</v>
      </c>
      <c r="BE41" s="4" t="str">
        <f t="shared" si="4"/>
        <v>VEXMX</v>
      </c>
      <c r="BF41" s="4" t="str">
        <f t="shared" si="4"/>
        <v>VIMAX</v>
      </c>
      <c r="BG41" s="4" t="str">
        <f t="shared" si="4"/>
        <v>VSMAX</v>
      </c>
      <c r="BH41" s="4" t="str">
        <f t="shared" si="4"/>
        <v>VTRIX</v>
      </c>
      <c r="BI41" s="4" t="str">
        <f t="shared" si="4"/>
        <v>VTIAX</v>
      </c>
      <c r="BJ41" s="4" t="str">
        <f t="shared" si="4"/>
        <v>VBTLX</v>
      </c>
      <c r="BK41" s="4" t="str">
        <f t="shared" si="4"/>
        <v>Total</v>
      </c>
      <c r="BL41" t="s">
        <v>129</v>
      </c>
    </row>
    <row r="42" spans="1:65"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1"/>
        <v>25000</v>
      </c>
      <c r="U42" s="2">
        <f t="shared" si="1"/>
        <v>0</v>
      </c>
      <c r="V42" s="2">
        <f t="shared" si="1"/>
        <v>0</v>
      </c>
      <c r="W42" s="2">
        <f t="shared" si="1"/>
        <v>15000</v>
      </c>
      <c r="X42" s="2">
        <f t="shared" si="1"/>
        <v>0</v>
      </c>
      <c r="Y42" s="2">
        <f t="shared" si="1"/>
        <v>40000</v>
      </c>
      <c r="Z42" s="2">
        <f t="shared" si="1"/>
        <v>100000</v>
      </c>
      <c r="AD42" s="2"/>
      <c r="AE42" s="2"/>
      <c r="AG42" s="21" t="s">
        <v>131</v>
      </c>
      <c r="AH42" s="6">
        <f t="shared" ref="AH42:AI57" si="5">S42/$Z42</f>
        <v>0.2</v>
      </c>
      <c r="AI42" s="6">
        <f t="shared" si="5"/>
        <v>0.25</v>
      </c>
      <c r="AJ42" s="23">
        <v>0.15</v>
      </c>
      <c r="AK42" s="23">
        <v>0.1</v>
      </c>
      <c r="AL42" s="6">
        <f>W42/$Z42</f>
        <v>0.15</v>
      </c>
      <c r="AM42" s="23">
        <v>0.15</v>
      </c>
      <c r="AN42" s="6">
        <f>Y42/$Z42</f>
        <v>0.4</v>
      </c>
      <c r="AO42" s="6">
        <f>Z42/$Z42</f>
        <v>1</v>
      </c>
      <c r="AP42" s="7"/>
      <c r="AQ42" s="7"/>
      <c r="AR42" s="24"/>
      <c r="AS42" s="21" t="str">
        <f>AG42</f>
        <v>Target Allocation</v>
      </c>
      <c r="AT42" s="24">
        <f t="shared" si="3"/>
        <v>0.2</v>
      </c>
      <c r="AU42" s="24">
        <f t="shared" si="3"/>
        <v>0.25</v>
      </c>
      <c r="AV42" s="25">
        <f t="shared" si="3"/>
        <v>0.15</v>
      </c>
      <c r="AW42" s="25">
        <f t="shared" si="3"/>
        <v>0.1</v>
      </c>
      <c r="AX42" s="24">
        <f t="shared" si="3"/>
        <v>0.15</v>
      </c>
      <c r="AY42" s="25">
        <f t="shared" si="3"/>
        <v>0.15</v>
      </c>
      <c r="AZ42" s="24">
        <f t="shared" si="3"/>
        <v>0.4</v>
      </c>
      <c r="BA42" s="24">
        <f>AO42</f>
        <v>1</v>
      </c>
      <c r="BC42" s="21" t="str">
        <f>AS42</f>
        <v>Target Allocation</v>
      </c>
      <c r="BD42" s="24">
        <f>AT42</f>
        <v>0.2</v>
      </c>
      <c r="BE42" s="24">
        <f t="shared" si="4"/>
        <v>0.25</v>
      </c>
      <c r="BF42" s="25">
        <f t="shared" si="4"/>
        <v>0.15</v>
      </c>
      <c r="BG42" s="25">
        <f t="shared" si="4"/>
        <v>0.1</v>
      </c>
      <c r="BH42" s="24">
        <f t="shared" si="4"/>
        <v>0.15</v>
      </c>
      <c r="BI42" s="25">
        <f t="shared" si="4"/>
        <v>0.15</v>
      </c>
      <c r="BJ42" s="24">
        <f t="shared" si="4"/>
        <v>0.4</v>
      </c>
      <c r="BK42" s="24">
        <f t="shared" si="4"/>
        <v>1</v>
      </c>
      <c r="BL42" s="2"/>
    </row>
    <row r="43" spans="1:65" x14ac:dyDescent="0.2">
      <c r="A43">
        <f t="shared" ref="A43:A73" si="6">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83">
        <f>(J43/I42)</f>
        <v>0.13937449999999982</v>
      </c>
      <c r="L43" s="7">
        <f>K43+1</f>
        <v>1.1393744999999997</v>
      </c>
      <c r="N43">
        <f>A43</f>
        <v>1988</v>
      </c>
      <c r="O43" s="2">
        <f>I43*0.04</f>
        <v>4557.4979999999996</v>
      </c>
      <c r="P43" s="2"/>
      <c r="Q43" s="2"/>
      <c r="R43">
        <f>A43</f>
        <v>1988</v>
      </c>
      <c r="S43" s="2">
        <f>B43-($O43/4)</f>
        <v>22104.625499999995</v>
      </c>
      <c r="T43" s="2">
        <f>C43-($O43/4)</f>
        <v>28797.375500000002</v>
      </c>
      <c r="U43" s="2"/>
      <c r="V43" s="2"/>
      <c r="W43" s="2">
        <f t="shared" ref="W43:W51" si="7">F43-($O43/4)</f>
        <v>16677.325499999999</v>
      </c>
      <c r="X43" s="2"/>
      <c r="Y43" s="2">
        <f>H43-($O43/4)</f>
        <v>41800.625499999995</v>
      </c>
      <c r="Z43" s="2">
        <f>SUM(S43:Y43)</f>
        <v>109379.95199999999</v>
      </c>
      <c r="AA43" s="2">
        <f>Z43-Z42</f>
        <v>9379.9519999999902</v>
      </c>
      <c r="AB43" s="83">
        <f>(AA43/Z42)</f>
        <v>9.37995199999999E-2</v>
      </c>
      <c r="AC43" s="7">
        <f>AB43+1</f>
        <v>1.0937995199999999</v>
      </c>
      <c r="AD43" s="2">
        <f>Z43-(I43-O43)</f>
        <v>0</v>
      </c>
      <c r="AE43" s="2"/>
      <c r="AG43">
        <f>A43</f>
        <v>1988</v>
      </c>
      <c r="AH43" s="6">
        <f t="shared" si="5"/>
        <v>0.20209028341866522</v>
      </c>
      <c r="AI43" s="6">
        <f t="shared" si="5"/>
        <v>0.26327837024466794</v>
      </c>
      <c r="AJ43" s="7"/>
      <c r="AK43" s="7"/>
      <c r="AL43" s="6">
        <f>W43/$Z43</f>
        <v>0.15247150135885962</v>
      </c>
      <c r="AM43" s="7"/>
      <c r="AN43" s="6">
        <f>Y43/$Z43</f>
        <v>0.38215984497780725</v>
      </c>
      <c r="AO43" s="6">
        <f>SUM(AH43:AN43)</f>
        <v>1</v>
      </c>
      <c r="AP43" s="7">
        <f>SUM(AH43:AM43)</f>
        <v>0.61784015502219281</v>
      </c>
      <c r="AQ43" s="7">
        <f>AO43-(AP43+AN43)</f>
        <v>0</v>
      </c>
      <c r="AR43" s="24"/>
      <c r="AS43">
        <f>AG43</f>
        <v>1988</v>
      </c>
      <c r="AT43" s="1" t="b">
        <f>AND((S43/$Z43)&gt;0.15,(S43/$Z43)&lt;0.25)</f>
        <v>1</v>
      </c>
      <c r="AU43" s="1" t="b">
        <f>AND((T43/$Z43)&gt;0.25,(T43/$Z43)&lt;0.35)</f>
        <v>1</v>
      </c>
      <c r="AX43" s="1" t="b">
        <f t="shared" ref="AX43:AX51" si="8">AND((W43/$Z43)&gt;0.15,(W43/$Z43)&lt;0.25)</f>
        <v>1</v>
      </c>
      <c r="AZ43" s="1" t="b">
        <f>AND((Y43/$Z43)&gt;0.25,(Y43/$Z43)&lt;0.35)</f>
        <v>0</v>
      </c>
      <c r="BA43" s="1" t="b">
        <f>AND((Z43/$Z43)&gt;0.999,(Z43/$Z43)&lt;1.01)</f>
        <v>1</v>
      </c>
      <c r="BC43">
        <f>AS43</f>
        <v>1988</v>
      </c>
      <c r="BD43" s="2">
        <f t="shared" ref="BD43:BE53" si="9">$BK43*BD$42</f>
        <v>21875.990399999999</v>
      </c>
      <c r="BE43" s="2">
        <f t="shared" si="9"/>
        <v>27344.987999999998</v>
      </c>
      <c r="BF43" s="2"/>
      <c r="BG43" s="2"/>
      <c r="BH43" s="2">
        <f t="shared" ref="BH43:BH51" si="10">$BK43*BH$42</f>
        <v>16406.992799999996</v>
      </c>
      <c r="BI43" s="2"/>
      <c r="BJ43" s="2">
        <f t="shared" ref="BJ43:BJ53" si="11">$BK43*BJ$42</f>
        <v>43751.980799999998</v>
      </c>
      <c r="BK43" s="2">
        <f>Z43</f>
        <v>109379.95199999999</v>
      </c>
      <c r="BL43" s="2">
        <f>SUM(BD43:BJ43)-Z43</f>
        <v>0</v>
      </c>
      <c r="BM43" s="2"/>
    </row>
    <row r="44" spans="1:65" x14ac:dyDescent="0.2">
      <c r="A44">
        <f t="shared" si="6"/>
        <v>1989</v>
      </c>
      <c r="B44" s="2">
        <f t="shared" ref="B44:B53" si="12">BD43*(1+(B5/100))</f>
        <v>28736.300989440002</v>
      </c>
      <c r="C44" s="2">
        <f t="shared" ref="C44:C53" si="13">BE43*(1+(C5/100))</f>
        <v>33934.036308479997</v>
      </c>
      <c r="D44" s="2"/>
      <c r="E44" s="2"/>
      <c r="F44" s="2">
        <f t="shared" ref="F44:F51" si="14">BH43*(1+(F5/100))</f>
        <v>20668.052900087998</v>
      </c>
      <c r="G44" s="2"/>
      <c r="H44" s="2">
        <f t="shared" ref="H44:H73" si="15">BJ43*(1+(H5/100))</f>
        <v>49719.75098112</v>
      </c>
      <c r="I44" s="2">
        <f>SUM(B44:H44)</f>
        <v>133058.141179128</v>
      </c>
      <c r="J44" s="2">
        <f t="shared" ref="J44:J70" si="16">I44-I43</f>
        <v>19120.691179128014</v>
      </c>
      <c r="K44" s="83">
        <f t="shared" ref="K44:K70" si="17">(J44/I43)</f>
        <v>0.16781744000000015</v>
      </c>
      <c r="L44" s="7">
        <f t="shared" ref="L44:L70" si="18">K44+1</f>
        <v>1.1678174400000001</v>
      </c>
      <c r="N44">
        <f t="shared" ref="N44:N70" si="19">A44</f>
        <v>1989</v>
      </c>
      <c r="O44" s="2">
        <f t="shared" ref="O44:O73" si="20">O43*(1+O5)</f>
        <v>4767.1429079999998</v>
      </c>
      <c r="P44" s="2"/>
      <c r="Q44" s="2"/>
      <c r="R44">
        <f t="shared" ref="R44:R70" si="21">A44</f>
        <v>1989</v>
      </c>
      <c r="S44" s="2">
        <f t="shared" ref="S44:T52" si="22">B44-($O44/4)</f>
        <v>27544.515262440003</v>
      </c>
      <c r="T44" s="2">
        <f t="shared" si="22"/>
        <v>32742.250581479999</v>
      </c>
      <c r="U44" s="2"/>
      <c r="V44" s="2"/>
      <c r="W44" s="2">
        <f t="shared" si="7"/>
        <v>19476.267173087999</v>
      </c>
      <c r="X44" s="2"/>
      <c r="Y44" s="2">
        <f t="shared" ref="Y44:Y52" si="23">H44-($O44/4)</f>
        <v>48527.965254119998</v>
      </c>
      <c r="Z44" s="2">
        <f t="shared" ref="Z44:Z70" si="24">SUM(S44:Y44)</f>
        <v>128290.99827112799</v>
      </c>
      <c r="AA44" s="2">
        <f t="shared" ref="AA44:AA58" si="25">Z44-Z43</f>
        <v>18911.046271127998</v>
      </c>
      <c r="AB44" s="83">
        <f t="shared" ref="AB44:AB58" si="26">(AA44/Z43)</f>
        <v>0.17289316666666665</v>
      </c>
      <c r="AC44" s="7">
        <f t="shared" ref="AC44:AC70" si="27">AB44+1</f>
        <v>1.1728931666666667</v>
      </c>
      <c r="AD44" s="2">
        <f t="shared" ref="AD44:AD70" si="28">Z44-(I44-O44)</f>
        <v>0</v>
      </c>
      <c r="AE44" s="2"/>
      <c r="AG44">
        <f t="shared" ref="AG44:AG70" si="29">A44</f>
        <v>1989</v>
      </c>
      <c r="AH44" s="6">
        <f t="shared" si="5"/>
        <v>0.21470341359592432</v>
      </c>
      <c r="AI44" s="6">
        <f t="shared" si="5"/>
        <v>0.25521861255053213</v>
      </c>
      <c r="AJ44" s="7"/>
      <c r="AK44" s="7"/>
      <c r="AL44" s="6">
        <f t="shared" ref="AL44:AM59" si="30">W44/$Z44</f>
        <v>0.15181320151494332</v>
      </c>
      <c r="AM44" s="7"/>
      <c r="AN44" s="6">
        <f t="shared" ref="AN44:AN70" si="31">Y44/$Z44</f>
        <v>0.37826477233860034</v>
      </c>
      <c r="AO44" s="6">
        <f t="shared" ref="AO44:AO68" si="32">SUM(AH44:AN44)</f>
        <v>1</v>
      </c>
      <c r="AP44" s="7">
        <f t="shared" ref="AP44:AP68" si="33">SUM(AH44:AM44)</f>
        <v>0.62173522766139977</v>
      </c>
      <c r="AQ44" s="7">
        <f t="shared" ref="AQ44:AQ70" si="34">AO44-(AP44+AN44)</f>
        <v>0</v>
      </c>
      <c r="AR44" s="24"/>
      <c r="AS44">
        <f t="shared" ref="AS44:AS70" si="35">AG44</f>
        <v>1989</v>
      </c>
      <c r="AT44" s="1" t="b">
        <f t="shared" ref="AT44:AT70" si="36">AND((S44/$Z44)&gt;0.15,(S44/$Z44)&lt;0.25)</f>
        <v>1</v>
      </c>
      <c r="AU44" s="1" t="b">
        <f t="shared" ref="AU44:AU53" si="37">AND((T44/$Z44)&gt;0.25,(T44/$Z44)&lt;0.35)</f>
        <v>1</v>
      </c>
      <c r="AX44" s="1" t="b">
        <f t="shared" si="8"/>
        <v>1</v>
      </c>
      <c r="AZ44" s="1" t="b">
        <f t="shared" ref="AZ44:AZ70" si="38">AND((Y44/$Z44)&gt;0.25,(Y44/$Z44)&lt;0.35)</f>
        <v>0</v>
      </c>
      <c r="BA44" s="1" t="b">
        <f t="shared" ref="BA44:BA70" si="39">AND((Z44/$Z44)&gt;0.999,(Z44/$Z44)&lt;1.01)</f>
        <v>1</v>
      </c>
      <c r="BC44">
        <f t="shared" ref="BC44:BC70" si="40">AS44</f>
        <v>1989</v>
      </c>
      <c r="BD44" s="2">
        <f t="shared" si="9"/>
        <v>25658.199654225598</v>
      </c>
      <c r="BE44" s="2">
        <f t="shared" si="9"/>
        <v>32072.749567781997</v>
      </c>
      <c r="BF44" s="2"/>
      <c r="BG44" s="2"/>
      <c r="BH44" s="2">
        <f t="shared" si="10"/>
        <v>19243.649740669196</v>
      </c>
      <c r="BI44" s="2"/>
      <c r="BJ44" s="2">
        <f t="shared" si="11"/>
        <v>51316.399308451197</v>
      </c>
      <c r="BK44" s="2">
        <f t="shared" ref="BK44:BK70" si="41">Z44</f>
        <v>128290.99827112799</v>
      </c>
      <c r="BL44" s="2">
        <f t="shared" ref="BL44:BL70" si="42">SUM(BD44:BJ44)-Z44</f>
        <v>0</v>
      </c>
      <c r="BM44" s="2"/>
    </row>
    <row r="45" spans="1:65" x14ac:dyDescent="0.2">
      <c r="A45">
        <f t="shared" si="6"/>
        <v>1990</v>
      </c>
      <c r="B45" s="2">
        <f t="shared" si="12"/>
        <v>24806.347425705309</v>
      </c>
      <c r="C45" s="2">
        <f t="shared" si="13"/>
        <v>27568.131890987017</v>
      </c>
      <c r="D45" s="2"/>
      <c r="E45" s="2"/>
      <c r="F45" s="2">
        <f t="shared" si="14"/>
        <v>16884.378282463153</v>
      </c>
      <c r="G45" s="2"/>
      <c r="H45" s="2">
        <f t="shared" si="15"/>
        <v>55755.267848632226</v>
      </c>
      <c r="I45" s="2">
        <f t="shared" ref="I45:I67" si="43">SUM(B45:H45)</f>
        <v>125014.12544778771</v>
      </c>
      <c r="J45" s="2">
        <f t="shared" si="16"/>
        <v>-8044.0157313402888</v>
      </c>
      <c r="K45" s="83">
        <f t="shared" si="17"/>
        <v>-6.045489332750504E-2</v>
      </c>
      <c r="L45" s="7">
        <f t="shared" si="18"/>
        <v>0.93954510667249491</v>
      </c>
      <c r="N45">
        <f t="shared" si="19"/>
        <v>1990</v>
      </c>
      <c r="O45" s="2">
        <f t="shared" si="20"/>
        <v>5067.4729112039995</v>
      </c>
      <c r="P45" s="2"/>
      <c r="Q45" s="2"/>
      <c r="R45">
        <f t="shared" si="21"/>
        <v>1990</v>
      </c>
      <c r="S45" s="2">
        <f t="shared" si="22"/>
        <v>23539.479197904311</v>
      </c>
      <c r="T45" s="2">
        <f t="shared" si="22"/>
        <v>26301.263663186019</v>
      </c>
      <c r="U45" s="2"/>
      <c r="V45" s="2"/>
      <c r="W45" s="2">
        <f t="shared" si="7"/>
        <v>15617.510054662152</v>
      </c>
      <c r="X45" s="2"/>
      <c r="Y45" s="2">
        <f t="shared" si="23"/>
        <v>54488.399620831224</v>
      </c>
      <c r="Z45" s="2">
        <f t="shared" si="24"/>
        <v>119946.65253658372</v>
      </c>
      <c r="AA45" s="2">
        <f t="shared" si="25"/>
        <v>-8344.345734544273</v>
      </c>
      <c r="AB45" s="83">
        <f t="shared" si="26"/>
        <v>-6.5042332252411628E-2</v>
      </c>
      <c r="AC45" s="7">
        <f t="shared" si="27"/>
        <v>0.93495766774758837</v>
      </c>
      <c r="AD45" s="2">
        <f t="shared" si="28"/>
        <v>0</v>
      </c>
      <c r="AE45" s="2"/>
      <c r="AG45">
        <f t="shared" si="29"/>
        <v>1990</v>
      </c>
      <c r="AH45" s="6">
        <f t="shared" si="5"/>
        <v>0.19624957178963184</v>
      </c>
      <c r="AI45" s="6">
        <f t="shared" si="5"/>
        <v>0.21927467842559539</v>
      </c>
      <c r="AJ45" s="7"/>
      <c r="AK45" s="7"/>
      <c r="AL45" s="6">
        <f t="shared" si="30"/>
        <v>0.13020380080968758</v>
      </c>
      <c r="AM45" s="7"/>
      <c r="AN45" s="6">
        <f t="shared" si="31"/>
        <v>0.45427194897508516</v>
      </c>
      <c r="AO45" s="6">
        <f t="shared" si="32"/>
        <v>0.99999999999999989</v>
      </c>
      <c r="AP45" s="7">
        <f t="shared" si="33"/>
        <v>0.54572805102491473</v>
      </c>
      <c r="AQ45" s="7">
        <f t="shared" si="34"/>
        <v>0</v>
      </c>
      <c r="AR45" s="24"/>
      <c r="AS45">
        <f t="shared" si="35"/>
        <v>1990</v>
      </c>
      <c r="AT45" s="1" t="b">
        <f t="shared" si="36"/>
        <v>1</v>
      </c>
      <c r="AU45" s="1" t="b">
        <f t="shared" si="37"/>
        <v>0</v>
      </c>
      <c r="AX45" s="1" t="b">
        <f t="shared" si="8"/>
        <v>0</v>
      </c>
      <c r="AZ45" s="1" t="b">
        <f t="shared" si="38"/>
        <v>0</v>
      </c>
      <c r="BA45" s="1" t="b">
        <f t="shared" si="39"/>
        <v>1</v>
      </c>
      <c r="BC45">
        <f t="shared" si="40"/>
        <v>1990</v>
      </c>
      <c r="BD45" s="2">
        <f t="shared" si="9"/>
        <v>23989.330507316743</v>
      </c>
      <c r="BE45" s="2">
        <f t="shared" si="9"/>
        <v>29986.663134145929</v>
      </c>
      <c r="BF45" s="2"/>
      <c r="BG45" s="2"/>
      <c r="BH45" s="2">
        <f t="shared" si="10"/>
        <v>17991.997880487557</v>
      </c>
      <c r="BI45" s="2"/>
      <c r="BJ45" s="2">
        <f t="shared" si="11"/>
        <v>47978.661014633486</v>
      </c>
      <c r="BK45" s="2">
        <f t="shared" si="41"/>
        <v>119946.65253658372</v>
      </c>
      <c r="BL45" s="2">
        <f t="shared" si="42"/>
        <v>0</v>
      </c>
      <c r="BM45" s="2"/>
    </row>
    <row r="46" spans="1:65" x14ac:dyDescent="0.2">
      <c r="A46">
        <f t="shared" si="6"/>
        <v>1991</v>
      </c>
      <c r="B46" s="2">
        <f t="shared" si="12"/>
        <v>31238.906186627864</v>
      </c>
      <c r="C46" s="2">
        <f t="shared" si="13"/>
        <v>42536.081655786002</v>
      </c>
      <c r="D46" s="2"/>
      <c r="E46" s="2"/>
      <c r="F46" s="2">
        <f t="shared" si="14"/>
        <v>19783.2811894689</v>
      </c>
      <c r="G46" s="2"/>
      <c r="H46" s="2">
        <f t="shared" si="15"/>
        <v>55295.406819365096</v>
      </c>
      <c r="I46" s="2">
        <f t="shared" si="43"/>
        <v>148853.67585124786</v>
      </c>
      <c r="J46" s="2">
        <f t="shared" si="16"/>
        <v>23839.550403460147</v>
      </c>
      <c r="K46" s="83">
        <f t="shared" si="17"/>
        <v>0.19069485402604974</v>
      </c>
      <c r="L46" s="7">
        <f t="shared" si="18"/>
        <v>1.1906948540260498</v>
      </c>
      <c r="N46">
        <f t="shared" si="19"/>
        <v>1991</v>
      </c>
      <c r="O46" s="2">
        <f t="shared" si="20"/>
        <v>5219.4970985401196</v>
      </c>
      <c r="P46" s="2"/>
      <c r="Q46" s="2"/>
      <c r="R46">
        <f t="shared" si="21"/>
        <v>1991</v>
      </c>
      <c r="S46" s="2">
        <f t="shared" si="22"/>
        <v>29934.031911992835</v>
      </c>
      <c r="T46" s="2">
        <f t="shared" si="22"/>
        <v>41231.207381150969</v>
      </c>
      <c r="U46" s="2"/>
      <c r="V46" s="2"/>
      <c r="W46" s="2">
        <f t="shared" si="7"/>
        <v>18478.406914833871</v>
      </c>
      <c r="X46" s="2"/>
      <c r="Y46" s="2">
        <f t="shared" si="23"/>
        <v>53990.532544730064</v>
      </c>
      <c r="Z46" s="2">
        <f t="shared" si="24"/>
        <v>143634.17875270775</v>
      </c>
      <c r="AA46" s="2">
        <f t="shared" si="25"/>
        <v>23687.526216124039</v>
      </c>
      <c r="AB46" s="83">
        <f t="shared" si="26"/>
        <v>0.19748384565296098</v>
      </c>
      <c r="AC46" s="7">
        <f t="shared" si="27"/>
        <v>1.1974838456529611</v>
      </c>
      <c r="AD46" s="2">
        <f t="shared" si="28"/>
        <v>0</v>
      </c>
      <c r="AE46" s="2"/>
      <c r="AG46">
        <f t="shared" si="29"/>
        <v>1991</v>
      </c>
      <c r="AH46" s="6">
        <f t="shared" si="5"/>
        <v>0.20840465808301581</v>
      </c>
      <c r="AI46" s="6">
        <f t="shared" si="5"/>
        <v>0.28705707610260339</v>
      </c>
      <c r="AJ46" s="7"/>
      <c r="AK46" s="7"/>
      <c r="AL46" s="6">
        <f t="shared" si="30"/>
        <v>0.1286490936579085</v>
      </c>
      <c r="AM46" s="7"/>
      <c r="AN46" s="6">
        <f t="shared" si="31"/>
        <v>0.37588917215647216</v>
      </c>
      <c r="AO46" s="6">
        <f t="shared" si="32"/>
        <v>0.99999999999999978</v>
      </c>
      <c r="AP46" s="7">
        <f t="shared" si="33"/>
        <v>0.62411082784352767</v>
      </c>
      <c r="AQ46" s="7">
        <f t="shared" si="34"/>
        <v>0</v>
      </c>
      <c r="AR46" s="24"/>
      <c r="AS46">
        <f t="shared" si="35"/>
        <v>1991</v>
      </c>
      <c r="AT46" s="1" t="b">
        <f t="shared" si="36"/>
        <v>1</v>
      </c>
      <c r="AU46" s="1" t="b">
        <f t="shared" si="37"/>
        <v>1</v>
      </c>
      <c r="AX46" s="1" t="b">
        <f t="shared" si="8"/>
        <v>0</v>
      </c>
      <c r="AZ46" s="1" t="b">
        <f t="shared" si="38"/>
        <v>0</v>
      </c>
      <c r="BA46" s="1" t="b">
        <f t="shared" si="39"/>
        <v>1</v>
      </c>
      <c r="BC46">
        <f t="shared" si="40"/>
        <v>1991</v>
      </c>
      <c r="BD46" s="2">
        <f t="shared" si="9"/>
        <v>28726.835750541552</v>
      </c>
      <c r="BE46" s="2">
        <f t="shared" si="9"/>
        <v>35908.544688176939</v>
      </c>
      <c r="BF46" s="2"/>
      <c r="BG46" s="2"/>
      <c r="BH46" s="2">
        <f t="shared" si="10"/>
        <v>21545.126812906161</v>
      </c>
      <c r="BI46" s="2"/>
      <c r="BJ46" s="2">
        <f t="shared" si="11"/>
        <v>57453.671501083103</v>
      </c>
      <c r="BK46" s="2">
        <f t="shared" si="41"/>
        <v>143634.17875270775</v>
      </c>
      <c r="BL46" s="2">
        <f t="shared" si="42"/>
        <v>0</v>
      </c>
      <c r="BM46" s="2"/>
    </row>
    <row r="47" spans="1:65" x14ac:dyDescent="0.2">
      <c r="A47">
        <f t="shared" si="6"/>
        <v>1992</v>
      </c>
      <c r="B47" s="2">
        <f t="shared" si="12"/>
        <v>30858.366963231736</v>
      </c>
      <c r="C47" s="2">
        <f t="shared" si="13"/>
        <v>40384.903869005073</v>
      </c>
      <c r="D47" s="2"/>
      <c r="E47" s="2"/>
      <c r="F47" s="2">
        <f t="shared" si="14"/>
        <v>19666.176303552613</v>
      </c>
      <c r="G47" s="2"/>
      <c r="H47" s="2">
        <f t="shared" si="15"/>
        <v>61555.863646260434</v>
      </c>
      <c r="I47" s="2">
        <f t="shared" si="43"/>
        <v>152465.31078204984</v>
      </c>
      <c r="J47" s="2">
        <f t="shared" si="16"/>
        <v>3611.6349308019853</v>
      </c>
      <c r="K47" s="83">
        <f t="shared" si="17"/>
        <v>2.4262987864748176E-2</v>
      </c>
      <c r="L47" s="7">
        <f t="shared" si="18"/>
        <v>1.0242629878647482</v>
      </c>
      <c r="N47">
        <f t="shared" si="19"/>
        <v>1992</v>
      </c>
      <c r="O47" s="2">
        <f t="shared" si="20"/>
        <v>5376.0820114963235</v>
      </c>
      <c r="P47" s="2"/>
      <c r="Q47" s="2"/>
      <c r="R47">
        <f t="shared" si="21"/>
        <v>1992</v>
      </c>
      <c r="S47" s="2">
        <f t="shared" si="22"/>
        <v>29514.346460357654</v>
      </c>
      <c r="T47" s="2">
        <f t="shared" si="22"/>
        <v>39040.883366130991</v>
      </c>
      <c r="U47" s="2"/>
      <c r="V47" s="2"/>
      <c r="W47" s="2">
        <f t="shared" si="7"/>
        <v>18322.155800678531</v>
      </c>
      <c r="X47" s="2"/>
      <c r="Y47" s="2">
        <f t="shared" si="23"/>
        <v>60211.843143386352</v>
      </c>
      <c r="Z47" s="2">
        <f t="shared" si="24"/>
        <v>147089.22877055354</v>
      </c>
      <c r="AA47" s="2">
        <f t="shared" si="25"/>
        <v>3455.0500178457878</v>
      </c>
      <c r="AB47" s="83">
        <f t="shared" si="26"/>
        <v>2.4054511592218466E-2</v>
      </c>
      <c r="AC47" s="7">
        <f t="shared" si="27"/>
        <v>1.0240545115922184</v>
      </c>
      <c r="AD47" s="2">
        <f t="shared" si="28"/>
        <v>0</v>
      </c>
      <c r="AE47" s="2"/>
      <c r="AG47">
        <f t="shared" si="29"/>
        <v>1992</v>
      </c>
      <c r="AH47" s="6">
        <f t="shared" si="5"/>
        <v>0.20065606915648104</v>
      </c>
      <c r="AI47" s="38">
        <f t="shared" si="5"/>
        <v>0.2654231291608129</v>
      </c>
      <c r="AJ47" s="7"/>
      <c r="AK47" s="7"/>
      <c r="AL47" s="38">
        <f t="shared" si="30"/>
        <v>0.12456490494799934</v>
      </c>
      <c r="AM47" s="7"/>
      <c r="AN47" s="6">
        <f t="shared" si="31"/>
        <v>0.40935589673470663</v>
      </c>
      <c r="AO47" s="6">
        <f t="shared" si="32"/>
        <v>0.99999999999999989</v>
      </c>
      <c r="AP47" s="7">
        <f t="shared" si="33"/>
        <v>0.59064410326529326</v>
      </c>
      <c r="AQ47" s="7">
        <f t="shared" si="34"/>
        <v>0</v>
      </c>
      <c r="AR47" s="24"/>
      <c r="AS47">
        <f t="shared" si="35"/>
        <v>1992</v>
      </c>
      <c r="AT47" s="1" t="b">
        <f t="shared" si="36"/>
        <v>1</v>
      </c>
      <c r="AU47" s="1" t="b">
        <f t="shared" si="37"/>
        <v>1</v>
      </c>
      <c r="AV47" s="1"/>
      <c r="AW47" s="1"/>
      <c r="AX47" s="1" t="b">
        <f t="shared" si="8"/>
        <v>0</v>
      </c>
      <c r="AY47" s="1"/>
      <c r="AZ47" s="1" t="b">
        <f t="shared" si="38"/>
        <v>0</v>
      </c>
      <c r="BA47" s="1" t="b">
        <f t="shared" si="39"/>
        <v>1</v>
      </c>
      <c r="BC47">
        <f t="shared" si="40"/>
        <v>1992</v>
      </c>
      <c r="BD47" s="2">
        <f t="shared" si="9"/>
        <v>29417.845754110709</v>
      </c>
      <c r="BE47" s="2">
        <f t="shared" si="9"/>
        <v>36772.307192638385</v>
      </c>
      <c r="BF47" s="2"/>
      <c r="BG47" s="2"/>
      <c r="BH47" s="2">
        <f t="shared" si="10"/>
        <v>22063.384315583029</v>
      </c>
      <c r="BI47" s="2"/>
      <c r="BJ47" s="2">
        <f t="shared" si="11"/>
        <v>58835.691508221418</v>
      </c>
      <c r="BK47" s="2">
        <f t="shared" si="41"/>
        <v>147089.22877055354</v>
      </c>
      <c r="BL47" s="2">
        <f t="shared" si="42"/>
        <v>0</v>
      </c>
      <c r="BM47" s="2"/>
    </row>
    <row r="48" spans="1:65" x14ac:dyDescent="0.2">
      <c r="A48">
        <f t="shared" si="6"/>
        <v>1993</v>
      </c>
      <c r="B48" s="2">
        <f t="shared" si="12"/>
        <v>32327.270699192257</v>
      </c>
      <c r="C48" s="2">
        <f t="shared" si="13"/>
        <v>42100.614504851692</v>
      </c>
      <c r="D48" s="2"/>
      <c r="E48" s="2"/>
      <c r="F48" s="2">
        <f t="shared" si="14"/>
        <v>28791.392728776918</v>
      </c>
      <c r="G48" s="2"/>
      <c r="H48" s="2">
        <f t="shared" si="15"/>
        <v>64530.986446217248</v>
      </c>
      <c r="I48" s="2">
        <f t="shared" si="43"/>
        <v>167750.26437903813</v>
      </c>
      <c r="J48" s="2">
        <f t="shared" si="16"/>
        <v>15284.953596988285</v>
      </c>
      <c r="K48" s="83">
        <f t="shared" si="17"/>
        <v>0.10025200826723284</v>
      </c>
      <c r="L48" s="7">
        <f t="shared" si="18"/>
        <v>1.1002520082672329</v>
      </c>
      <c r="N48">
        <f t="shared" si="19"/>
        <v>1993</v>
      </c>
      <c r="O48" s="2">
        <f t="shared" si="20"/>
        <v>5526.6123078182209</v>
      </c>
      <c r="P48" s="2"/>
      <c r="Q48" s="2"/>
      <c r="R48">
        <f t="shared" si="21"/>
        <v>1993</v>
      </c>
      <c r="S48" s="2">
        <f t="shared" si="22"/>
        <v>30945.617622237703</v>
      </c>
      <c r="T48" s="2">
        <f t="shared" si="22"/>
        <v>40718.961427897135</v>
      </c>
      <c r="U48" s="2"/>
      <c r="V48" s="2"/>
      <c r="W48" s="2">
        <f t="shared" si="7"/>
        <v>27409.739651822361</v>
      </c>
      <c r="X48" s="2"/>
      <c r="Y48" s="2">
        <f t="shared" si="23"/>
        <v>63149.333369262691</v>
      </c>
      <c r="Z48" s="2">
        <f t="shared" si="24"/>
        <v>162223.6520712199</v>
      </c>
      <c r="AA48" s="2">
        <f t="shared" si="25"/>
        <v>15134.423300666356</v>
      </c>
      <c r="AB48" s="83">
        <f t="shared" si="26"/>
        <v>0.10289280477685246</v>
      </c>
      <c r="AC48" s="7">
        <f t="shared" si="27"/>
        <v>1.1028928047768525</v>
      </c>
      <c r="AD48" s="2">
        <f t="shared" si="28"/>
        <v>0</v>
      </c>
      <c r="AE48" s="2"/>
      <c r="AG48">
        <f t="shared" si="29"/>
        <v>1993</v>
      </c>
      <c r="AH48" s="6">
        <f t="shared" si="5"/>
        <v>0.19075897519957119</v>
      </c>
      <c r="AI48" s="6">
        <f t="shared" si="5"/>
        <v>0.25100508407997485</v>
      </c>
      <c r="AJ48" s="7"/>
      <c r="AK48" s="7"/>
      <c r="AL48" s="6">
        <f t="shared" si="30"/>
        <v>0.16896265927849324</v>
      </c>
      <c r="AM48" s="7"/>
      <c r="AN48" s="6">
        <f t="shared" si="31"/>
        <v>0.38927328144196066</v>
      </c>
      <c r="AO48" s="6">
        <f t="shared" si="32"/>
        <v>1</v>
      </c>
      <c r="AP48" s="7">
        <f t="shared" si="33"/>
        <v>0.61072671855803928</v>
      </c>
      <c r="AQ48" s="7">
        <f t="shared" si="34"/>
        <v>0</v>
      </c>
      <c r="AR48" s="24"/>
      <c r="AS48">
        <f t="shared" si="35"/>
        <v>1993</v>
      </c>
      <c r="AT48" s="1" t="b">
        <f t="shared" si="36"/>
        <v>1</v>
      </c>
      <c r="AU48" s="1" t="b">
        <f t="shared" si="37"/>
        <v>1</v>
      </c>
      <c r="AV48" s="1"/>
      <c r="AW48" s="1"/>
      <c r="AX48" s="1" t="b">
        <f t="shared" si="8"/>
        <v>1</v>
      </c>
      <c r="AY48" s="1"/>
      <c r="AZ48" s="1" t="b">
        <f t="shared" si="38"/>
        <v>0</v>
      </c>
      <c r="BA48" s="1" t="b">
        <f t="shared" si="39"/>
        <v>1</v>
      </c>
      <c r="BC48">
        <f t="shared" si="40"/>
        <v>1993</v>
      </c>
      <c r="BD48" s="2">
        <f t="shared" si="9"/>
        <v>32444.730414243983</v>
      </c>
      <c r="BE48" s="2">
        <f t="shared" si="9"/>
        <v>40555.913017804975</v>
      </c>
      <c r="BF48" s="2"/>
      <c r="BG48" s="2"/>
      <c r="BH48" s="2">
        <f t="shared" si="10"/>
        <v>24333.547810682983</v>
      </c>
      <c r="BI48" s="2"/>
      <c r="BJ48" s="2">
        <f t="shared" si="11"/>
        <v>64889.460828487965</v>
      </c>
      <c r="BK48" s="2">
        <f t="shared" si="41"/>
        <v>162223.6520712199</v>
      </c>
      <c r="BL48" s="2">
        <f t="shared" si="42"/>
        <v>0</v>
      </c>
      <c r="BM48" s="2"/>
    </row>
    <row r="49" spans="1:65" x14ac:dyDescent="0.2">
      <c r="A49">
        <f t="shared" si="6"/>
        <v>1994</v>
      </c>
      <c r="B49" s="2">
        <f t="shared" si="12"/>
        <v>32827.578233132066</v>
      </c>
      <c r="C49" s="2">
        <f t="shared" si="13"/>
        <v>39840.506712170893</v>
      </c>
      <c r="D49" s="2"/>
      <c r="E49" s="2"/>
      <c r="F49" s="2">
        <f t="shared" si="14"/>
        <v>25612.275748134376</v>
      </c>
      <c r="G49" s="2"/>
      <c r="H49" s="2">
        <f t="shared" si="15"/>
        <v>63163.40117045019</v>
      </c>
      <c r="I49" s="2">
        <f t="shared" si="43"/>
        <v>161443.76186388751</v>
      </c>
      <c r="J49" s="2">
        <f t="shared" si="16"/>
        <v>-6306.5025151506125</v>
      </c>
      <c r="K49" s="83">
        <f t="shared" si="17"/>
        <v>-3.7594590616565761E-2</v>
      </c>
      <c r="L49" s="7">
        <f t="shared" si="18"/>
        <v>0.96240540938343422</v>
      </c>
      <c r="N49">
        <f t="shared" si="19"/>
        <v>1994</v>
      </c>
      <c r="O49" s="2">
        <f t="shared" si="20"/>
        <v>5670.3042278214944</v>
      </c>
      <c r="P49" s="2"/>
      <c r="Q49" s="2"/>
      <c r="R49">
        <f t="shared" si="21"/>
        <v>1994</v>
      </c>
      <c r="S49" s="2">
        <f t="shared" si="22"/>
        <v>31410.002176176691</v>
      </c>
      <c r="T49" s="2">
        <f t="shared" si="22"/>
        <v>38422.930655215518</v>
      </c>
      <c r="U49" s="2"/>
      <c r="V49" s="2"/>
      <c r="W49" s="2">
        <f t="shared" si="7"/>
        <v>24194.699691179001</v>
      </c>
      <c r="X49" s="2"/>
      <c r="Y49" s="2">
        <f t="shared" si="23"/>
        <v>61745.825113494815</v>
      </c>
      <c r="Z49" s="2">
        <f t="shared" si="24"/>
        <v>155773.45763606604</v>
      </c>
      <c r="AA49" s="2">
        <f t="shared" si="25"/>
        <v>-6450.194435153855</v>
      </c>
      <c r="AB49" s="83">
        <f t="shared" si="26"/>
        <v>-3.9761122085465513E-2</v>
      </c>
      <c r="AC49" s="7">
        <f t="shared" si="27"/>
        <v>0.96023887791453444</v>
      </c>
      <c r="AD49" s="2">
        <f t="shared" si="28"/>
        <v>0</v>
      </c>
      <c r="AE49" s="2"/>
      <c r="AG49">
        <f t="shared" si="29"/>
        <v>1994</v>
      </c>
      <c r="AH49" s="6">
        <f t="shared" si="5"/>
        <v>0.20163898685204745</v>
      </c>
      <c r="AI49" s="6">
        <f t="shared" si="5"/>
        <v>0.24665903446133369</v>
      </c>
      <c r="AJ49" s="7"/>
      <c r="AK49" s="7"/>
      <c r="AL49" s="6">
        <f t="shared" si="30"/>
        <v>0.15531978334656438</v>
      </c>
      <c r="AM49" s="7"/>
      <c r="AN49" s="6">
        <f t="shared" si="31"/>
        <v>0.39638219534005437</v>
      </c>
      <c r="AO49" s="6">
        <f t="shared" si="32"/>
        <v>0.99999999999999989</v>
      </c>
      <c r="AP49" s="7">
        <f t="shared" si="33"/>
        <v>0.60361780465994552</v>
      </c>
      <c r="AQ49" s="7">
        <f t="shared" si="34"/>
        <v>0</v>
      </c>
      <c r="AR49" s="24"/>
      <c r="AS49">
        <f t="shared" si="35"/>
        <v>1994</v>
      </c>
      <c r="AT49" s="1" t="b">
        <f t="shared" si="36"/>
        <v>1</v>
      </c>
      <c r="AU49" s="1" t="b">
        <f t="shared" si="37"/>
        <v>0</v>
      </c>
      <c r="AV49" s="1"/>
      <c r="AW49" s="1"/>
      <c r="AX49" s="1" t="b">
        <f t="shared" si="8"/>
        <v>1</v>
      </c>
      <c r="AY49" s="1"/>
      <c r="AZ49" s="1" t="b">
        <f t="shared" si="38"/>
        <v>0</v>
      </c>
      <c r="BA49" s="1" t="b">
        <f t="shared" si="39"/>
        <v>1</v>
      </c>
      <c r="BC49">
        <f t="shared" si="40"/>
        <v>1994</v>
      </c>
      <c r="BD49" s="2">
        <f t="shared" si="9"/>
        <v>31154.69152721321</v>
      </c>
      <c r="BE49" s="2">
        <f t="shared" si="9"/>
        <v>38943.364409016511</v>
      </c>
      <c r="BF49" s="2"/>
      <c r="BG49" s="2"/>
      <c r="BH49" s="2">
        <f t="shared" si="10"/>
        <v>23366.018645409906</v>
      </c>
      <c r="BI49" s="2"/>
      <c r="BJ49" s="2">
        <f t="shared" si="11"/>
        <v>62309.38305442642</v>
      </c>
      <c r="BK49" s="2">
        <f t="shared" si="41"/>
        <v>155773.45763606604</v>
      </c>
      <c r="BL49" s="2">
        <f t="shared" si="42"/>
        <v>0</v>
      </c>
      <c r="BM49" s="2"/>
    </row>
    <row r="50" spans="1:65" x14ac:dyDescent="0.2">
      <c r="A50">
        <f t="shared" si="6"/>
        <v>1995</v>
      </c>
      <c r="B50" s="2">
        <f t="shared" si="12"/>
        <v>42822.123504154559</v>
      </c>
      <c r="C50" s="2">
        <f t="shared" si="13"/>
        <v>52105.053278331819</v>
      </c>
      <c r="D50" s="2"/>
      <c r="E50" s="2"/>
      <c r="F50" s="2">
        <f t="shared" si="14"/>
        <v>25619.904803946145</v>
      </c>
      <c r="G50" s="2"/>
      <c r="H50" s="2">
        <f t="shared" si="15"/>
        <v>73637.228893721142</v>
      </c>
      <c r="I50" s="2">
        <f t="shared" si="43"/>
        <v>194184.31048015365</v>
      </c>
      <c r="J50" s="2">
        <f t="shared" si="16"/>
        <v>32740.54861626614</v>
      </c>
      <c r="K50" s="83">
        <f t="shared" si="17"/>
        <v>0.20279847445495941</v>
      </c>
      <c r="L50" s="7">
        <f t="shared" si="18"/>
        <v>1.2027984744549594</v>
      </c>
      <c r="N50">
        <f t="shared" si="19"/>
        <v>1995</v>
      </c>
      <c r="O50" s="2">
        <f t="shared" si="20"/>
        <v>5812.0618335170311</v>
      </c>
      <c r="P50" s="2"/>
      <c r="Q50" s="2"/>
      <c r="R50">
        <f t="shared" si="21"/>
        <v>1995</v>
      </c>
      <c r="S50" s="2">
        <f t="shared" si="22"/>
        <v>41369.108045775298</v>
      </c>
      <c r="T50" s="2">
        <f t="shared" si="22"/>
        <v>50652.037819952558</v>
      </c>
      <c r="U50" s="2"/>
      <c r="V50" s="2"/>
      <c r="W50" s="2">
        <f t="shared" si="7"/>
        <v>24166.889345566888</v>
      </c>
      <c r="X50" s="2"/>
      <c r="Y50" s="2">
        <f t="shared" si="23"/>
        <v>72184.213435341881</v>
      </c>
      <c r="Z50" s="2">
        <f t="shared" si="24"/>
        <v>188372.24864663661</v>
      </c>
      <c r="AA50" s="2">
        <f t="shared" si="25"/>
        <v>32598.791010570567</v>
      </c>
      <c r="AB50" s="83">
        <f t="shared" si="26"/>
        <v>0.20927051055598453</v>
      </c>
      <c r="AC50" s="7">
        <f t="shared" si="27"/>
        <v>1.2092705105559844</v>
      </c>
      <c r="AD50" s="2">
        <f t="shared" si="28"/>
        <v>0</v>
      </c>
      <c r="AE50" s="2"/>
      <c r="AG50">
        <f t="shared" si="29"/>
        <v>1995</v>
      </c>
      <c r="AH50" s="6">
        <f t="shared" si="5"/>
        <v>0.21961360201936489</v>
      </c>
      <c r="AI50" s="6">
        <f t="shared" si="5"/>
        <v>0.26889331196003086</v>
      </c>
      <c r="AJ50" s="7"/>
      <c r="AK50" s="7"/>
      <c r="AL50" s="6">
        <f t="shared" si="30"/>
        <v>0.12829325720319359</v>
      </c>
      <c r="AM50" s="7"/>
      <c r="AN50" s="6">
        <f t="shared" si="31"/>
        <v>0.38319982881741071</v>
      </c>
      <c r="AO50" s="6">
        <f t="shared" si="32"/>
        <v>1</v>
      </c>
      <c r="AP50" s="7">
        <f t="shared" si="33"/>
        <v>0.61680017118258934</v>
      </c>
      <c r="AQ50" s="7">
        <f t="shared" si="34"/>
        <v>0</v>
      </c>
      <c r="AR50" s="24"/>
      <c r="AS50">
        <f t="shared" si="35"/>
        <v>1995</v>
      </c>
      <c r="AT50" s="1" t="b">
        <f t="shared" si="36"/>
        <v>1</v>
      </c>
      <c r="AU50" s="1" t="b">
        <f t="shared" si="37"/>
        <v>1</v>
      </c>
      <c r="AV50" s="1"/>
      <c r="AW50" s="1"/>
      <c r="AX50" s="1" t="b">
        <f t="shared" si="8"/>
        <v>0</v>
      </c>
      <c r="AY50" s="1"/>
      <c r="AZ50" s="1" t="b">
        <f t="shared" si="38"/>
        <v>0</v>
      </c>
      <c r="BA50" s="1" t="b">
        <f t="shared" si="39"/>
        <v>1</v>
      </c>
      <c r="BC50">
        <f t="shared" si="40"/>
        <v>1995</v>
      </c>
      <c r="BD50" s="2">
        <f t="shared" si="9"/>
        <v>37674.449729327323</v>
      </c>
      <c r="BE50" s="2">
        <f t="shared" si="9"/>
        <v>47093.062161659152</v>
      </c>
      <c r="BF50" s="2"/>
      <c r="BG50" s="2"/>
      <c r="BH50" s="2">
        <f t="shared" si="10"/>
        <v>28255.837296995491</v>
      </c>
      <c r="BI50" s="2"/>
      <c r="BJ50" s="2">
        <f t="shared" si="11"/>
        <v>75348.899458654647</v>
      </c>
      <c r="BK50" s="2">
        <f t="shared" si="41"/>
        <v>188372.24864663661</v>
      </c>
      <c r="BL50" s="2">
        <f t="shared" si="42"/>
        <v>0</v>
      </c>
      <c r="BM50" s="2"/>
    </row>
    <row r="51" spans="1:65" x14ac:dyDescent="0.2">
      <c r="A51">
        <f t="shared" si="6"/>
        <v>1996</v>
      </c>
      <c r="B51" s="2">
        <f t="shared" si="12"/>
        <v>46294.363827397421</v>
      </c>
      <c r="C51" s="2">
        <f t="shared" si="13"/>
        <v>55403.574841327136</v>
      </c>
      <c r="D51" s="2"/>
      <c r="E51" s="2"/>
      <c r="F51" s="2">
        <f t="shared" si="14"/>
        <v>31143.30131037546</v>
      </c>
      <c r="G51" s="2"/>
      <c r="H51" s="2">
        <f t="shared" si="15"/>
        <v>78046.39005927449</v>
      </c>
      <c r="I51" s="2">
        <f t="shared" si="43"/>
        <v>210887.63003837451</v>
      </c>
      <c r="J51" s="2">
        <f t="shared" si="16"/>
        <v>16703.319558220857</v>
      </c>
      <c r="K51" s="83">
        <f t="shared" si="17"/>
        <v>8.6017863734299982E-2</v>
      </c>
      <c r="L51" s="7">
        <f t="shared" si="18"/>
        <v>1.0860178637343001</v>
      </c>
      <c r="N51">
        <f t="shared" si="19"/>
        <v>1996</v>
      </c>
      <c r="O51" s="2">
        <f t="shared" si="20"/>
        <v>6009.6719358566106</v>
      </c>
      <c r="P51" s="2"/>
      <c r="Q51" s="2"/>
      <c r="R51">
        <f t="shared" si="21"/>
        <v>1996</v>
      </c>
      <c r="S51" s="2">
        <f t="shared" si="22"/>
        <v>44791.94584343327</v>
      </c>
      <c r="T51" s="2">
        <f t="shared" si="22"/>
        <v>53901.156857362985</v>
      </c>
      <c r="U51" s="2"/>
      <c r="V51" s="2"/>
      <c r="W51" s="2">
        <f t="shared" si="7"/>
        <v>29640.883326411309</v>
      </c>
      <c r="X51" s="2"/>
      <c r="Y51" s="2">
        <f t="shared" si="23"/>
        <v>76543.972075310332</v>
      </c>
      <c r="Z51" s="2">
        <f t="shared" si="24"/>
        <v>204877.95810251788</v>
      </c>
      <c r="AA51" s="2">
        <f t="shared" si="25"/>
        <v>16505.709455881268</v>
      </c>
      <c r="AB51" s="83">
        <f t="shared" si="26"/>
        <v>8.762282966024347E-2</v>
      </c>
      <c r="AC51" s="7">
        <f t="shared" si="27"/>
        <v>1.0876228296602435</v>
      </c>
      <c r="AD51" s="2">
        <f t="shared" si="28"/>
        <v>0</v>
      </c>
      <c r="AE51" s="2"/>
      <c r="AG51">
        <f t="shared" si="29"/>
        <v>1996</v>
      </c>
      <c r="AH51" s="6">
        <f t="shared" si="5"/>
        <v>0.21862745147538051</v>
      </c>
      <c r="AI51" s="6">
        <f t="shared" si="5"/>
        <v>0.2630890963409136</v>
      </c>
      <c r="AJ51" s="7"/>
      <c r="AK51" s="7"/>
      <c r="AL51" s="6">
        <f t="shared" si="30"/>
        <v>0.14467580407834527</v>
      </c>
      <c r="AM51" s="6"/>
      <c r="AN51" s="38">
        <f t="shared" si="31"/>
        <v>0.37360764810536068</v>
      </c>
      <c r="AO51" s="6">
        <f t="shared" si="32"/>
        <v>1</v>
      </c>
      <c r="AP51" s="7">
        <f t="shared" si="33"/>
        <v>0.62639235189463938</v>
      </c>
      <c r="AQ51" s="7">
        <f t="shared" si="34"/>
        <v>0</v>
      </c>
      <c r="AR51" s="24"/>
      <c r="AS51">
        <f t="shared" si="35"/>
        <v>1996</v>
      </c>
      <c r="AT51" s="1" t="b">
        <f t="shared" si="36"/>
        <v>1</v>
      </c>
      <c r="AU51" s="1" t="b">
        <f t="shared" si="37"/>
        <v>1</v>
      </c>
      <c r="AV51" s="1"/>
      <c r="AW51" s="1"/>
      <c r="AX51" s="1" t="b">
        <f t="shared" si="8"/>
        <v>0</v>
      </c>
      <c r="AY51" s="1"/>
      <c r="AZ51" s="1" t="b">
        <f t="shared" si="38"/>
        <v>0</v>
      </c>
      <c r="BA51" s="1" t="b">
        <f t="shared" si="39"/>
        <v>1</v>
      </c>
      <c r="BC51">
        <f t="shared" si="40"/>
        <v>1996</v>
      </c>
      <c r="BD51" s="2">
        <f t="shared" si="9"/>
        <v>40975.591620503576</v>
      </c>
      <c r="BE51" s="2">
        <f t="shared" si="9"/>
        <v>51219.489525629469</v>
      </c>
      <c r="BF51" s="2"/>
      <c r="BG51" s="2"/>
      <c r="BH51" s="2">
        <f t="shared" si="10"/>
        <v>30731.693715377682</v>
      </c>
      <c r="BI51" s="2"/>
      <c r="BJ51" s="2">
        <f t="shared" si="11"/>
        <v>81951.183241007151</v>
      </c>
      <c r="BK51" s="2">
        <f t="shared" si="41"/>
        <v>204877.95810251788</v>
      </c>
      <c r="BL51" s="2">
        <f t="shared" si="42"/>
        <v>0</v>
      </c>
      <c r="BM51" s="2"/>
    </row>
    <row r="52" spans="1:65" x14ac:dyDescent="0.2">
      <c r="A52">
        <f t="shared" si="6"/>
        <v>1997</v>
      </c>
      <c r="B52" s="2">
        <f t="shared" si="12"/>
        <v>54575.390479348716</v>
      </c>
      <c r="C52" s="2">
        <f t="shared" si="13"/>
        <v>64888.434695334203</v>
      </c>
      <c r="D52" s="2"/>
      <c r="E52" s="2"/>
      <c r="F52" s="2"/>
      <c r="G52" s="2">
        <f>BH51*(1+(G13/100))</f>
        <v>30493.523089083505</v>
      </c>
      <c r="H52" s="2">
        <f t="shared" si="15"/>
        <v>89687.374938958223</v>
      </c>
      <c r="I52" s="2">
        <f t="shared" si="43"/>
        <v>239644.72320272465</v>
      </c>
      <c r="J52" s="2">
        <f t="shared" si="16"/>
        <v>28757.093164350139</v>
      </c>
      <c r="K52" s="83">
        <f t="shared" si="17"/>
        <v>0.13636216196804576</v>
      </c>
      <c r="L52" s="7">
        <f t="shared" si="18"/>
        <v>1.1363621619680457</v>
      </c>
      <c r="N52">
        <f t="shared" si="19"/>
        <v>1997</v>
      </c>
      <c r="O52" s="2">
        <f t="shared" si="20"/>
        <v>6111.8363587661725</v>
      </c>
      <c r="P52" s="2"/>
      <c r="Q52" s="2"/>
      <c r="R52">
        <f t="shared" si="21"/>
        <v>1997</v>
      </c>
      <c r="S52" s="2">
        <f t="shared" si="22"/>
        <v>53047.431389657177</v>
      </c>
      <c r="T52" s="2">
        <f t="shared" si="22"/>
        <v>63360.475605642663</v>
      </c>
      <c r="U52" s="2"/>
      <c r="V52" s="2"/>
      <c r="W52" s="2"/>
      <c r="X52" s="2">
        <f>G52-($O52/4)</f>
        <v>28965.563999391961</v>
      </c>
      <c r="Y52" s="2">
        <f t="shared" si="23"/>
        <v>88159.415849266676</v>
      </c>
      <c r="Z52" s="2">
        <f t="shared" si="24"/>
        <v>233532.88684395846</v>
      </c>
      <c r="AA52" s="2">
        <f t="shared" si="25"/>
        <v>28654.928741440584</v>
      </c>
      <c r="AB52" s="83">
        <f t="shared" si="26"/>
        <v>0.13986340456937824</v>
      </c>
      <c r="AC52" s="7">
        <f t="shared" si="27"/>
        <v>1.1398634045693783</v>
      </c>
      <c r="AD52" s="2">
        <f t="shared" si="28"/>
        <v>0</v>
      </c>
      <c r="AE52" s="2"/>
      <c r="AG52">
        <f t="shared" si="29"/>
        <v>1997</v>
      </c>
      <c r="AH52" s="6">
        <f t="shared" si="5"/>
        <v>0.22715186758729319</v>
      </c>
      <c r="AI52" s="6">
        <f t="shared" si="5"/>
        <v>0.27131286073630706</v>
      </c>
      <c r="AJ52" s="7"/>
      <c r="AK52" s="7"/>
      <c r="AL52" s="6"/>
      <c r="AM52" s="6">
        <f t="shared" si="30"/>
        <v>0.12403205557402334</v>
      </c>
      <c r="AN52" s="6">
        <f t="shared" si="31"/>
        <v>0.37750321610237642</v>
      </c>
      <c r="AO52" s="6">
        <f t="shared" si="32"/>
        <v>1</v>
      </c>
      <c r="AP52" s="7">
        <f t="shared" si="33"/>
        <v>0.62249678389762353</v>
      </c>
      <c r="AQ52" s="7">
        <f t="shared" si="34"/>
        <v>0</v>
      </c>
      <c r="AR52" s="24"/>
      <c r="AS52">
        <f t="shared" si="35"/>
        <v>1997</v>
      </c>
      <c r="AT52" s="1" t="b">
        <f t="shared" si="36"/>
        <v>1</v>
      </c>
      <c r="AU52" s="1" t="b">
        <f t="shared" si="37"/>
        <v>1</v>
      </c>
      <c r="AV52" s="1"/>
      <c r="AW52" s="1"/>
      <c r="AX52" s="1"/>
      <c r="AY52" s="1" t="b">
        <f t="shared" ref="AY52:AY70" si="44">AND((X52/$Z52)&gt;0.15,(X52/$Z52)&lt;0.25)</f>
        <v>0</v>
      </c>
      <c r="AZ52" s="1" t="b">
        <f t="shared" si="38"/>
        <v>0</v>
      </c>
      <c r="BA52" s="1" t="b">
        <f t="shared" si="39"/>
        <v>1</v>
      </c>
      <c r="BC52">
        <f t="shared" si="40"/>
        <v>1997</v>
      </c>
      <c r="BD52" s="2">
        <f t="shared" si="9"/>
        <v>46706.577368791695</v>
      </c>
      <c r="BE52" s="2">
        <f t="shared" si="9"/>
        <v>58383.221710989616</v>
      </c>
      <c r="BF52" s="2"/>
      <c r="BG52" s="2"/>
      <c r="BH52" s="2"/>
      <c r="BI52" s="2">
        <f>$BK52*BI$42</f>
        <v>35029.933026593768</v>
      </c>
      <c r="BJ52" s="2">
        <f t="shared" si="11"/>
        <v>93413.154737583391</v>
      </c>
      <c r="BK52" s="2">
        <f t="shared" si="41"/>
        <v>233532.88684395846</v>
      </c>
      <c r="BL52" s="2">
        <f t="shared" si="42"/>
        <v>0</v>
      </c>
      <c r="BM52" s="2"/>
    </row>
    <row r="53" spans="1:65" x14ac:dyDescent="0.2">
      <c r="A53">
        <f t="shared" si="6"/>
        <v>1998</v>
      </c>
      <c r="B53" s="2">
        <f t="shared" si="12"/>
        <v>60092.682442687394</v>
      </c>
      <c r="C53" s="2">
        <f t="shared" si="13"/>
        <v>63259.972220508585</v>
      </c>
      <c r="D53" s="2"/>
      <c r="E53" s="2"/>
      <c r="F53" s="2"/>
      <c r="G53" s="2">
        <f t="shared" ref="G53:G73" si="45">BI52*(1+(G14/100))</f>
        <v>40495.65347673319</v>
      </c>
      <c r="H53" s="2">
        <f t="shared" si="15"/>
        <v>101428.00341406805</v>
      </c>
      <c r="I53" s="2">
        <f t="shared" si="43"/>
        <v>265276.31155399722</v>
      </c>
      <c r="J53" s="2">
        <f t="shared" si="16"/>
        <v>25631.58835127257</v>
      </c>
      <c r="K53" s="83">
        <f t="shared" si="17"/>
        <v>0.10695661481179299</v>
      </c>
      <c r="L53" s="7">
        <f t="shared" si="18"/>
        <v>1.1069566148117931</v>
      </c>
      <c r="N53">
        <f t="shared" si="19"/>
        <v>1998</v>
      </c>
      <c r="O53" s="2">
        <f t="shared" si="20"/>
        <v>6209.6257405064316</v>
      </c>
      <c r="P53" s="2"/>
      <c r="Q53" s="2"/>
      <c r="R53">
        <f t="shared" si="21"/>
        <v>1998</v>
      </c>
      <c r="S53" s="2">
        <f>B53-($O53/4)</f>
        <v>58540.276007560788</v>
      </c>
      <c r="T53" s="2">
        <f>C53-($O53/4)</f>
        <v>61707.565785381979</v>
      </c>
      <c r="U53" s="2"/>
      <c r="V53" s="2"/>
      <c r="W53" s="2"/>
      <c r="X53" s="2">
        <f>G53-($O53/4)</f>
        <v>38943.247041606584</v>
      </c>
      <c r="Y53" s="2">
        <f>H53-($O53/4)</f>
        <v>99875.596978941438</v>
      </c>
      <c r="Z53" s="2">
        <f t="shared" si="24"/>
        <v>259066.6858134908</v>
      </c>
      <c r="AA53" s="2">
        <f t="shared" si="25"/>
        <v>25533.798969532334</v>
      </c>
      <c r="AB53" s="83">
        <f t="shared" si="26"/>
        <v>0.1093370587526435</v>
      </c>
      <c r="AC53" s="7">
        <f t="shared" si="27"/>
        <v>1.1093370587526434</v>
      </c>
      <c r="AD53" s="2">
        <f t="shared" si="28"/>
        <v>0</v>
      </c>
      <c r="AE53" s="2"/>
      <c r="AG53">
        <f t="shared" si="29"/>
        <v>1998</v>
      </c>
      <c r="AH53" s="38">
        <f t="shared" si="5"/>
        <v>0.22596605126490688</v>
      </c>
      <c r="AI53" s="6">
        <f t="shared" si="5"/>
        <v>0.23819182150578383</v>
      </c>
      <c r="AJ53" s="7"/>
      <c r="AK53" s="7"/>
      <c r="AL53" s="7"/>
      <c r="AM53" s="6">
        <f t="shared" si="30"/>
        <v>0.15032132332770448</v>
      </c>
      <c r="AN53" s="6">
        <f t="shared" si="31"/>
        <v>0.38552080390160476</v>
      </c>
      <c r="AO53" s="6">
        <f t="shared" si="32"/>
        <v>1</v>
      </c>
      <c r="AP53" s="7">
        <f t="shared" si="33"/>
        <v>0.61447919609839519</v>
      </c>
      <c r="AQ53" s="7">
        <f t="shared" si="34"/>
        <v>0</v>
      </c>
      <c r="AR53" s="24"/>
      <c r="AS53">
        <f t="shared" si="35"/>
        <v>1998</v>
      </c>
      <c r="AT53" s="1" t="b">
        <f t="shared" si="36"/>
        <v>1</v>
      </c>
      <c r="AU53" s="1" t="b">
        <f t="shared" si="37"/>
        <v>0</v>
      </c>
      <c r="AV53" s="1"/>
      <c r="AW53" s="1"/>
      <c r="AX53" s="1"/>
      <c r="AY53" s="1" t="b">
        <f t="shared" si="44"/>
        <v>1</v>
      </c>
      <c r="AZ53" s="1" t="b">
        <f t="shared" si="38"/>
        <v>0</v>
      </c>
      <c r="BA53" s="1" t="b">
        <f t="shared" si="39"/>
        <v>1</v>
      </c>
      <c r="BC53">
        <f t="shared" si="40"/>
        <v>1998</v>
      </c>
      <c r="BD53" s="2">
        <f t="shared" si="9"/>
        <v>51813.337162698161</v>
      </c>
      <c r="BE53" s="2">
        <f t="shared" si="9"/>
        <v>64766.671453372699</v>
      </c>
      <c r="BF53" s="2"/>
      <c r="BG53" s="2"/>
      <c r="BH53" s="2"/>
      <c r="BI53" s="2">
        <f>$BK53*BI$42</f>
        <v>38860.002872023615</v>
      </c>
      <c r="BJ53" s="2">
        <f t="shared" si="11"/>
        <v>103626.67432539632</v>
      </c>
      <c r="BK53" s="2">
        <f t="shared" si="41"/>
        <v>259066.6858134908</v>
      </c>
      <c r="BL53" s="2">
        <f t="shared" si="42"/>
        <v>0</v>
      </c>
      <c r="BM53" s="2"/>
    </row>
    <row r="54" spans="1:65" x14ac:dyDescent="0.2">
      <c r="A54">
        <f t="shared" si="6"/>
        <v>1999</v>
      </c>
      <c r="B54" s="2">
        <f t="shared" ref="B54:B73" si="46">BD53*(1+(B15/100))</f>
        <v>62730.407302878666</v>
      </c>
      <c r="C54" s="2"/>
      <c r="D54" s="2">
        <f>($BE53*0.6)*(1+(D15/100))</f>
        <v>44812.966711988913</v>
      </c>
      <c r="E54" s="2">
        <f>($BE53*0.4)*(1+(E15/100))</f>
        <v>31899.658224272564</v>
      </c>
      <c r="F54" s="2"/>
      <c r="G54" s="2">
        <f t="shared" si="45"/>
        <v>50486.527131304363</v>
      </c>
      <c r="H54" s="2">
        <f t="shared" si="15"/>
        <v>102839.11160052331</v>
      </c>
      <c r="I54" s="2">
        <f t="shared" si="43"/>
        <v>292768.6709709678</v>
      </c>
      <c r="J54" s="2">
        <f t="shared" si="16"/>
        <v>27492.359416970576</v>
      </c>
      <c r="K54" s="83">
        <f t="shared" si="17"/>
        <v>0.10363669208124708</v>
      </c>
      <c r="L54" s="7">
        <f t="shared" si="18"/>
        <v>1.103636692081247</v>
      </c>
      <c r="N54">
        <f t="shared" si="19"/>
        <v>1999</v>
      </c>
      <c r="O54" s="2">
        <f t="shared" si="20"/>
        <v>6377.2856355001049</v>
      </c>
      <c r="P54" s="2"/>
      <c r="Q54" s="2"/>
      <c r="R54">
        <f t="shared" si="21"/>
        <v>1999</v>
      </c>
      <c r="S54" s="2">
        <f>B54-($O54/5)</f>
        <v>61454.950175778642</v>
      </c>
      <c r="T54" s="2"/>
      <c r="U54" s="2">
        <f>D54-($O54/5)</f>
        <v>43537.509584888889</v>
      </c>
      <c r="V54" s="2">
        <f>E54-($O54/5)</f>
        <v>30624.201097172543</v>
      </c>
      <c r="W54" s="2"/>
      <c r="X54" s="2">
        <f>G54-($O54/5)</f>
        <v>49211.070004204339</v>
      </c>
      <c r="Y54" s="2">
        <f>H54-($O54/5)</f>
        <v>101563.65447342329</v>
      </c>
      <c r="Z54" s="2">
        <f t="shared" si="24"/>
        <v>286391.3853354677</v>
      </c>
      <c r="AA54" s="2">
        <f t="shared" si="25"/>
        <v>27324.699521976901</v>
      </c>
      <c r="AB54" s="83">
        <f t="shared" si="26"/>
        <v>0.10547361362258945</v>
      </c>
      <c r="AC54" s="7">
        <f t="shared" si="27"/>
        <v>1.1054736136225896</v>
      </c>
      <c r="AD54" s="2">
        <f t="shared" si="28"/>
        <v>0</v>
      </c>
      <c r="AE54" s="2"/>
      <c r="AG54">
        <f t="shared" si="29"/>
        <v>1999</v>
      </c>
      <c r="AH54" s="6">
        <f t="shared" si="5"/>
        <v>0.21458379449435153</v>
      </c>
      <c r="AI54" s="7"/>
      <c r="AJ54" s="6">
        <f t="shared" ref="AJ54:AK69" si="47">U54/$Z54</f>
        <v>0.1520210167421438</v>
      </c>
      <c r="AK54" s="6">
        <f t="shared" si="47"/>
        <v>0.1069312928575018</v>
      </c>
      <c r="AL54" s="7"/>
      <c r="AM54" s="6">
        <f t="shared" si="30"/>
        <v>0.17183153029048137</v>
      </c>
      <c r="AN54" s="6">
        <f t="shared" si="31"/>
        <v>0.35463236561552153</v>
      </c>
      <c r="AO54" s="6">
        <f t="shared" si="32"/>
        <v>1</v>
      </c>
      <c r="AP54" s="7">
        <f t="shared" si="33"/>
        <v>0.64536763438447853</v>
      </c>
      <c r="AQ54" s="7">
        <f t="shared" si="34"/>
        <v>0</v>
      </c>
      <c r="AR54" s="24"/>
      <c r="AS54">
        <f t="shared" si="35"/>
        <v>1999</v>
      </c>
      <c r="AT54" s="1" t="b">
        <f t="shared" si="36"/>
        <v>1</v>
      </c>
      <c r="AU54" s="1"/>
      <c r="AV54" s="1" t="b">
        <f>AND((U54/$Z54)&gt;0.15,(U54/$Z54)&lt;0.25)</f>
        <v>1</v>
      </c>
      <c r="AW54" s="1" t="b">
        <f>AND((V54/$Z54)&gt;0.05,(V54/$Z54)&lt;0.15)</f>
        <v>1</v>
      </c>
      <c r="AX54" s="1"/>
      <c r="AY54" s="1" t="b">
        <f t="shared" si="44"/>
        <v>1</v>
      </c>
      <c r="AZ54" s="1" t="b">
        <f t="shared" si="38"/>
        <v>0</v>
      </c>
      <c r="BA54" s="1" t="b">
        <f t="shared" si="39"/>
        <v>1</v>
      </c>
      <c r="BC54">
        <f t="shared" si="40"/>
        <v>1999</v>
      </c>
      <c r="BD54" s="2">
        <f>$BK54*BD$42</f>
        <v>57278.277067093542</v>
      </c>
      <c r="BE54" s="2"/>
      <c r="BF54" s="2">
        <f t="shared" ref="BF54:BG69" si="48">$BK54*BF$42</f>
        <v>42958.707800320153</v>
      </c>
      <c r="BG54" s="2">
        <f t="shared" si="48"/>
        <v>28639.138533546771</v>
      </c>
      <c r="BH54" s="2"/>
      <c r="BI54" s="2">
        <f>$BK54*BI$42</f>
        <v>42958.707800320153</v>
      </c>
      <c r="BJ54" s="2">
        <f t="shared" ref="BJ54:BJ71" si="49">$BK54*BJ$42</f>
        <v>114556.55413418708</v>
      </c>
      <c r="BK54" s="2">
        <f t="shared" si="41"/>
        <v>286391.3853354677</v>
      </c>
      <c r="BL54" s="2">
        <f t="shared" si="42"/>
        <v>0</v>
      </c>
      <c r="BM54" s="2"/>
    </row>
    <row r="55" spans="1:65" x14ac:dyDescent="0.2">
      <c r="A55">
        <f t="shared" si="6"/>
        <v>2000</v>
      </c>
      <c r="B55" s="2">
        <f t="shared" si="46"/>
        <v>52088.865164814866</v>
      </c>
      <c r="C55" s="2"/>
      <c r="D55" s="2">
        <f t="shared" ref="D55:D73" si="50">BF54*(1+(D16/100))</f>
        <v>50733.374738022088</v>
      </c>
      <c r="E55" s="2">
        <f t="shared" ref="E55:E73" si="51">BG54*(1+(E16/100))</f>
        <v>27875.905491627753</v>
      </c>
      <c r="F55" s="2"/>
      <c r="G55" s="2">
        <f t="shared" si="45"/>
        <v>36251.135164378167</v>
      </c>
      <c r="H55" s="2">
        <f t="shared" si="15"/>
        <v>127604.54565007101</v>
      </c>
      <c r="I55" s="2">
        <f t="shared" si="43"/>
        <v>294553.82620891387</v>
      </c>
      <c r="J55" s="2">
        <f t="shared" si="16"/>
        <v>1785.1552379460772</v>
      </c>
      <c r="K55" s="83">
        <f t="shared" si="17"/>
        <v>6.097494079628148E-3</v>
      </c>
      <c r="L55" s="7">
        <f t="shared" si="18"/>
        <v>1.0060974940796281</v>
      </c>
      <c r="N55">
        <f t="shared" si="19"/>
        <v>2000</v>
      </c>
      <c r="O55" s="2">
        <f t="shared" si="20"/>
        <v>6594.1133471071089</v>
      </c>
      <c r="P55" s="2"/>
      <c r="Q55" s="2"/>
      <c r="R55">
        <f t="shared" si="21"/>
        <v>2000</v>
      </c>
      <c r="S55" s="2">
        <f t="shared" ref="S55:S70" si="52">B55-($O55/5)</f>
        <v>50770.042495393442</v>
      </c>
      <c r="T55" s="2"/>
      <c r="U55" s="2">
        <f t="shared" ref="U55:V70" si="53">D55-($O55/5)</f>
        <v>49414.552068600664</v>
      </c>
      <c r="V55" s="2">
        <f t="shared" si="53"/>
        <v>26557.082822206332</v>
      </c>
      <c r="W55" s="2"/>
      <c r="X55" s="2">
        <f t="shared" ref="X55:Y70" si="54">G55-($O55/5)</f>
        <v>34932.312494956743</v>
      </c>
      <c r="Y55" s="2">
        <f t="shared" si="54"/>
        <v>126285.72298064959</v>
      </c>
      <c r="Z55" s="2">
        <f t="shared" si="24"/>
        <v>287959.71286180674</v>
      </c>
      <c r="AA55" s="2">
        <f t="shared" si="25"/>
        <v>1568.3275263390387</v>
      </c>
      <c r="AB55" s="83">
        <f t="shared" si="26"/>
        <v>5.4761686511693121E-3</v>
      </c>
      <c r="AC55" s="7">
        <f t="shared" si="27"/>
        <v>1.0054761686511693</v>
      </c>
      <c r="AD55" s="2">
        <f t="shared" si="28"/>
        <v>0</v>
      </c>
      <c r="AE55" s="2"/>
      <c r="AG55">
        <f t="shared" si="29"/>
        <v>2000</v>
      </c>
      <c r="AH55" s="6">
        <f t="shared" si="5"/>
        <v>0.17630953299275665</v>
      </c>
      <c r="AI55" s="7"/>
      <c r="AJ55" s="6">
        <f t="shared" si="47"/>
        <v>0.17160231053680397</v>
      </c>
      <c r="AK55" s="6">
        <f t="shared" si="47"/>
        <v>9.2224994108641878E-2</v>
      </c>
      <c r="AL55" s="7"/>
      <c r="AM55" s="6">
        <f t="shared" si="30"/>
        <v>0.12130972123770983</v>
      </c>
      <c r="AN55" s="6">
        <f t="shared" si="31"/>
        <v>0.43855344112408778</v>
      </c>
      <c r="AO55" s="6">
        <f t="shared" si="32"/>
        <v>1</v>
      </c>
      <c r="AP55" s="7">
        <f t="shared" si="33"/>
        <v>0.56144655887591233</v>
      </c>
      <c r="AQ55" s="7">
        <f t="shared" si="34"/>
        <v>0</v>
      </c>
      <c r="AR55" s="24"/>
      <c r="AS55">
        <f t="shared" si="35"/>
        <v>2000</v>
      </c>
      <c r="AT55" s="1" t="b">
        <f t="shared" si="36"/>
        <v>1</v>
      </c>
      <c r="AU55" s="1"/>
      <c r="AV55" s="1" t="b">
        <f t="shared" ref="AV55:AV70" si="55">AND((U55/$Z55)&gt;0.15,(U55/$Z55)&lt;0.25)</f>
        <v>1</v>
      </c>
      <c r="AW55" s="1" t="b">
        <f t="shared" ref="AW55:AW70" si="56">AND((V55/$Z55)&gt;0.05,(V55/$Z55)&lt;0.15)</f>
        <v>1</v>
      </c>
      <c r="AX55" s="1"/>
      <c r="AY55" s="1" t="b">
        <f t="shared" si="44"/>
        <v>0</v>
      </c>
      <c r="AZ55" s="1" t="b">
        <f t="shared" si="38"/>
        <v>0</v>
      </c>
      <c r="BA55" s="1" t="b">
        <f t="shared" si="39"/>
        <v>1</v>
      </c>
      <c r="BC55">
        <f t="shared" si="40"/>
        <v>2000</v>
      </c>
      <c r="BD55" s="2">
        <f>$BK55*BD$42</f>
        <v>57591.942572361353</v>
      </c>
      <c r="BE55" s="2"/>
      <c r="BF55" s="2">
        <f t="shared" si="48"/>
        <v>43193.956929271008</v>
      </c>
      <c r="BG55" s="2">
        <f t="shared" si="48"/>
        <v>28795.971286180677</v>
      </c>
      <c r="BH55" s="2"/>
      <c r="BI55" s="2">
        <f>$BK55*BI$42</f>
        <v>43193.956929271008</v>
      </c>
      <c r="BJ55" s="2">
        <f t="shared" si="49"/>
        <v>115183.88514472271</v>
      </c>
      <c r="BK55" s="2">
        <f t="shared" si="41"/>
        <v>287959.71286180674</v>
      </c>
      <c r="BL55" s="2">
        <f t="shared" si="42"/>
        <v>0</v>
      </c>
      <c r="BM55" s="2"/>
    </row>
    <row r="56" spans="1:65" x14ac:dyDescent="0.2">
      <c r="A56">
        <f t="shared" si="6"/>
        <v>2001</v>
      </c>
      <c r="B56" s="2">
        <f t="shared" si="46"/>
        <v>50669.391075163519</v>
      </c>
      <c r="C56" s="2"/>
      <c r="D56" s="2">
        <f t="shared" si="50"/>
        <v>42978.419084193942</v>
      </c>
      <c r="E56" s="2">
        <f t="shared" si="51"/>
        <v>29688.646396052274</v>
      </c>
      <c r="F56" s="2"/>
      <c r="G56" s="2">
        <f t="shared" si="45"/>
        <v>34489.078789315019</v>
      </c>
      <c r="H56" s="2">
        <f t="shared" si="15"/>
        <v>124893.88666242284</v>
      </c>
      <c r="I56" s="2">
        <f t="shared" si="43"/>
        <v>282719.42200714757</v>
      </c>
      <c r="J56" s="2">
        <f t="shared" si="16"/>
        <v>-11834.404201766301</v>
      </c>
      <c r="K56" s="83">
        <f t="shared" si="17"/>
        <v>-4.0177390849347468E-2</v>
      </c>
      <c r="L56" s="7">
        <f t="shared" si="18"/>
        <v>0.95982260915065254</v>
      </c>
      <c r="N56">
        <f t="shared" si="19"/>
        <v>2001</v>
      </c>
      <c r="O56" s="2">
        <f t="shared" si="20"/>
        <v>6699.6191606608227</v>
      </c>
      <c r="P56" s="2"/>
      <c r="Q56" s="2"/>
      <c r="R56">
        <f t="shared" si="21"/>
        <v>2001</v>
      </c>
      <c r="S56" s="2">
        <f t="shared" si="52"/>
        <v>49329.467243031351</v>
      </c>
      <c r="T56" s="2"/>
      <c r="U56" s="2">
        <f t="shared" si="53"/>
        <v>41638.495252061781</v>
      </c>
      <c r="V56" s="2">
        <f t="shared" si="53"/>
        <v>28348.72256392011</v>
      </c>
      <c r="W56" s="2"/>
      <c r="X56" s="2">
        <f t="shared" si="54"/>
        <v>33149.154957182851</v>
      </c>
      <c r="Y56" s="2">
        <f t="shared" si="54"/>
        <v>123553.96283029068</v>
      </c>
      <c r="Z56" s="2">
        <f t="shared" si="24"/>
        <v>276019.80284648674</v>
      </c>
      <c r="AA56" s="2">
        <f t="shared" si="25"/>
        <v>-11939.910015319998</v>
      </c>
      <c r="AB56" s="83">
        <f t="shared" si="26"/>
        <v>-4.1463821090313484E-2</v>
      </c>
      <c r="AC56" s="7">
        <f t="shared" si="27"/>
        <v>0.95853617890968656</v>
      </c>
      <c r="AD56" s="2">
        <f t="shared" si="28"/>
        <v>0</v>
      </c>
      <c r="AE56" s="2"/>
      <c r="AG56">
        <f t="shared" si="29"/>
        <v>2001</v>
      </c>
      <c r="AH56" s="6">
        <f t="shared" si="5"/>
        <v>0.17871713092435909</v>
      </c>
      <c r="AI56" s="7"/>
      <c r="AJ56" s="6">
        <f t="shared" si="47"/>
        <v>0.15085328959248537</v>
      </c>
      <c r="AK56" s="6">
        <f t="shared" si="47"/>
        <v>0.10270539385787023</v>
      </c>
      <c r="AL56" s="7"/>
      <c r="AM56" s="6">
        <f t="shared" si="30"/>
        <v>0.1200970170086649</v>
      </c>
      <c r="AN56" s="59">
        <f t="shared" si="31"/>
        <v>0.44762716861662055</v>
      </c>
      <c r="AO56" s="6">
        <f t="shared" si="32"/>
        <v>1.0000000000000002</v>
      </c>
      <c r="AP56" s="7">
        <f t="shared" si="33"/>
        <v>0.55237283138337967</v>
      </c>
      <c r="AQ56" s="7">
        <f t="shared" si="34"/>
        <v>0</v>
      </c>
      <c r="AR56" s="24"/>
      <c r="AS56">
        <f t="shared" si="35"/>
        <v>2001</v>
      </c>
      <c r="AT56" s="1" t="b">
        <f t="shared" si="36"/>
        <v>1</v>
      </c>
      <c r="AU56" s="1"/>
      <c r="AV56" s="1" t="b">
        <f t="shared" si="55"/>
        <v>1</v>
      </c>
      <c r="AW56" s="1" t="b">
        <f t="shared" si="56"/>
        <v>1</v>
      </c>
      <c r="AX56" s="1"/>
      <c r="AY56" s="1" t="b">
        <f t="shared" si="44"/>
        <v>0</v>
      </c>
      <c r="AZ56" s="1" t="b">
        <f t="shared" si="38"/>
        <v>0</v>
      </c>
      <c r="BA56" s="1" t="b">
        <f t="shared" si="39"/>
        <v>1</v>
      </c>
      <c r="BC56">
        <f t="shared" si="40"/>
        <v>2001</v>
      </c>
      <c r="BD56" s="2">
        <f t="shared" ref="BD56:BD71" si="57">$BK56*BD$42</f>
        <v>55203.960569297349</v>
      </c>
      <c r="BE56" s="2"/>
      <c r="BF56" s="2">
        <f t="shared" si="48"/>
        <v>41402.970426973006</v>
      </c>
      <c r="BG56" s="2">
        <f t="shared" si="48"/>
        <v>27601.980284648675</v>
      </c>
      <c r="BH56" s="2"/>
      <c r="BI56" s="2">
        <f t="shared" ref="BI56:BI71" si="58">$BK56*BI$42</f>
        <v>41402.970426973006</v>
      </c>
      <c r="BJ56" s="2">
        <f t="shared" si="49"/>
        <v>110407.9211385947</v>
      </c>
      <c r="BK56" s="2">
        <f t="shared" si="41"/>
        <v>276019.80284648674</v>
      </c>
      <c r="BL56" s="2">
        <f t="shared" si="42"/>
        <v>0</v>
      </c>
      <c r="BM56" s="2"/>
    </row>
    <row r="57" spans="1:65" x14ac:dyDescent="0.2">
      <c r="A57">
        <f t="shared" si="6"/>
        <v>2002</v>
      </c>
      <c r="B57" s="2">
        <f t="shared" si="46"/>
        <v>42976.283303197983</v>
      </c>
      <c r="C57" s="2"/>
      <c r="D57" s="2">
        <f t="shared" si="50"/>
        <v>35354.824507000791</v>
      </c>
      <c r="E57" s="2">
        <f t="shared" si="51"/>
        <v>22075.511792056317</v>
      </c>
      <c r="F57" s="2"/>
      <c r="G57" s="2">
        <f t="shared" si="45"/>
        <v>35158.160397472668</v>
      </c>
      <c r="H57" s="2">
        <f t="shared" si="15"/>
        <v>119527.61542464262</v>
      </c>
      <c r="I57" s="2">
        <f t="shared" si="43"/>
        <v>255092.39542437036</v>
      </c>
      <c r="J57" s="2">
        <f t="shared" si="16"/>
        <v>-27627.026582777209</v>
      </c>
      <c r="K57" s="83">
        <f t="shared" si="17"/>
        <v>-9.7718884633538741E-2</v>
      </c>
      <c r="L57" s="7">
        <f t="shared" si="18"/>
        <v>0.90228111536646127</v>
      </c>
      <c r="N57">
        <f t="shared" si="19"/>
        <v>2002</v>
      </c>
      <c r="O57" s="2">
        <f t="shared" si="20"/>
        <v>6867.1096396773428</v>
      </c>
      <c r="P57" s="2"/>
      <c r="Q57" s="2"/>
      <c r="R57">
        <f t="shared" si="21"/>
        <v>2002</v>
      </c>
      <c r="S57" s="2">
        <f t="shared" si="52"/>
        <v>41602.861375262517</v>
      </c>
      <c r="T57" s="2"/>
      <c r="U57" s="2">
        <f t="shared" si="53"/>
        <v>33981.402579065325</v>
      </c>
      <c r="V57" s="2">
        <f t="shared" si="53"/>
        <v>20702.089864120848</v>
      </c>
      <c r="W57" s="2"/>
      <c r="X57" s="2">
        <f t="shared" si="54"/>
        <v>33784.738469537202</v>
      </c>
      <c r="Y57" s="2">
        <f t="shared" si="54"/>
        <v>118154.19349670714</v>
      </c>
      <c r="Z57" s="2">
        <f t="shared" si="24"/>
        <v>248225.28578469303</v>
      </c>
      <c r="AA57" s="2">
        <f t="shared" si="25"/>
        <v>-27794.517061793711</v>
      </c>
      <c r="AB57" s="83">
        <f t="shared" si="26"/>
        <v>-0.10069754697003432</v>
      </c>
      <c r="AC57" s="7">
        <f t="shared" si="27"/>
        <v>0.8993024530299657</v>
      </c>
      <c r="AD57" s="2">
        <f t="shared" si="28"/>
        <v>0</v>
      </c>
      <c r="AE57" s="2"/>
      <c r="AG57">
        <f t="shared" si="29"/>
        <v>2002</v>
      </c>
      <c r="AH57" s="6">
        <f t="shared" si="5"/>
        <v>0.16760122258998314</v>
      </c>
      <c r="AI57" s="7"/>
      <c r="AJ57" s="6">
        <f t="shared" si="47"/>
        <v>0.13689742554487497</v>
      </c>
      <c r="AK57" s="6">
        <f t="shared" si="47"/>
        <v>8.3400407008001345E-2</v>
      </c>
      <c r="AL57" s="7"/>
      <c r="AM57" s="38">
        <f t="shared" si="30"/>
        <v>0.1361051448192977</v>
      </c>
      <c r="AN57" s="38">
        <f t="shared" si="31"/>
        <v>0.47599580003784286</v>
      </c>
      <c r="AO57" s="6">
        <f t="shared" si="32"/>
        <v>1</v>
      </c>
      <c r="AP57" s="7">
        <f t="shared" si="33"/>
        <v>0.52400419996215719</v>
      </c>
      <c r="AQ57" s="7">
        <f t="shared" si="34"/>
        <v>0</v>
      </c>
      <c r="AR57" s="24"/>
      <c r="AS57">
        <f t="shared" si="35"/>
        <v>2002</v>
      </c>
      <c r="AT57" s="1" t="b">
        <f t="shared" si="36"/>
        <v>1</v>
      </c>
      <c r="AU57" s="1"/>
      <c r="AV57" s="1" t="b">
        <f t="shared" si="55"/>
        <v>0</v>
      </c>
      <c r="AW57" s="1" t="b">
        <f t="shared" si="56"/>
        <v>1</v>
      </c>
      <c r="AX57" s="1"/>
      <c r="AY57" s="1" t="b">
        <f t="shared" si="44"/>
        <v>0</v>
      </c>
      <c r="AZ57" s="39" t="b">
        <f t="shared" si="38"/>
        <v>0</v>
      </c>
      <c r="BA57" s="1" t="b">
        <f t="shared" si="39"/>
        <v>1</v>
      </c>
      <c r="BC57">
        <f t="shared" si="40"/>
        <v>2002</v>
      </c>
      <c r="BD57" s="2">
        <f t="shared" si="57"/>
        <v>49645.057156938608</v>
      </c>
      <c r="BE57" s="2"/>
      <c r="BF57" s="2">
        <f t="shared" si="48"/>
        <v>37233.792867703953</v>
      </c>
      <c r="BG57" s="2">
        <f t="shared" si="48"/>
        <v>24822.528578469304</v>
      </c>
      <c r="BH57" s="2"/>
      <c r="BI57" s="2">
        <f t="shared" si="58"/>
        <v>37233.792867703953</v>
      </c>
      <c r="BJ57" s="2">
        <f t="shared" si="49"/>
        <v>99290.114313877217</v>
      </c>
      <c r="BK57" s="2">
        <f t="shared" si="41"/>
        <v>248225.28578469303</v>
      </c>
      <c r="BL57" s="2">
        <f t="shared" si="42"/>
        <v>0</v>
      </c>
      <c r="BM57" s="2"/>
    </row>
    <row r="58" spans="1:65" x14ac:dyDescent="0.2">
      <c r="A58">
        <f t="shared" si="6"/>
        <v>2003</v>
      </c>
      <c r="B58" s="2">
        <f t="shared" si="46"/>
        <v>63793.898446666106</v>
      </c>
      <c r="C58" s="2"/>
      <c r="D58" s="2">
        <f t="shared" si="50"/>
        <v>49946.154428595437</v>
      </c>
      <c r="E58" s="2">
        <f t="shared" si="51"/>
        <v>36148.551918253281</v>
      </c>
      <c r="F58" s="2"/>
      <c r="G58" s="2">
        <f t="shared" si="45"/>
        <v>52253.904910535726</v>
      </c>
      <c r="H58" s="2">
        <f t="shared" si="15"/>
        <v>103231.93185213815</v>
      </c>
      <c r="I58" s="2">
        <f t="shared" si="43"/>
        <v>305374.44155618869</v>
      </c>
      <c r="J58" s="2">
        <f t="shared" si="16"/>
        <v>50282.046131818322</v>
      </c>
      <c r="K58" s="83">
        <f t="shared" si="17"/>
        <v>0.19711307366952033</v>
      </c>
      <c r="L58" s="7">
        <f t="shared" si="18"/>
        <v>1.1971130736695204</v>
      </c>
      <c r="N58">
        <f t="shared" si="19"/>
        <v>2003</v>
      </c>
      <c r="O58" s="2">
        <f t="shared" si="20"/>
        <v>7004.4518324708897</v>
      </c>
      <c r="P58" s="2"/>
      <c r="Q58" s="2"/>
      <c r="R58">
        <f t="shared" si="21"/>
        <v>2003</v>
      </c>
      <c r="S58" s="2">
        <f t="shared" si="52"/>
        <v>62393.00808017193</v>
      </c>
      <c r="T58" s="2"/>
      <c r="U58" s="2">
        <f t="shared" si="53"/>
        <v>48545.264062101262</v>
      </c>
      <c r="V58" s="2">
        <f t="shared" si="53"/>
        <v>34747.661551759105</v>
      </c>
      <c r="W58" s="2"/>
      <c r="X58" s="2">
        <f t="shared" si="54"/>
        <v>50853.014544041551</v>
      </c>
      <c r="Y58" s="2">
        <f t="shared" si="54"/>
        <v>101831.04148564397</v>
      </c>
      <c r="Z58" s="2">
        <f t="shared" si="24"/>
        <v>298369.98972371779</v>
      </c>
      <c r="AA58" s="2">
        <f t="shared" si="25"/>
        <v>50144.703939024766</v>
      </c>
      <c r="AB58" s="83">
        <f t="shared" si="26"/>
        <v>0.20201287624871364</v>
      </c>
      <c r="AC58" s="7">
        <f t="shared" si="27"/>
        <v>1.2020128762487137</v>
      </c>
      <c r="AD58" s="2">
        <f t="shared" si="28"/>
        <v>0</v>
      </c>
      <c r="AE58" s="2"/>
      <c r="AG58">
        <f t="shared" si="29"/>
        <v>2003</v>
      </c>
      <c r="AH58" s="6">
        <f t="shared" ref="AH58:AH70" si="59">S58/$Z58</f>
        <v>0.20911288074898585</v>
      </c>
      <c r="AI58" s="7"/>
      <c r="AJ58" s="6">
        <f t="shared" si="47"/>
        <v>0.16270156427948002</v>
      </c>
      <c r="AK58" s="6">
        <f t="shared" si="47"/>
        <v>0.11645829925434009</v>
      </c>
      <c r="AL58" s="7"/>
      <c r="AM58" s="6">
        <f t="shared" si="30"/>
        <v>0.17043609040952815</v>
      </c>
      <c r="AN58" s="38">
        <f t="shared" si="31"/>
        <v>0.34129116530766601</v>
      </c>
      <c r="AO58" s="6">
        <f t="shared" si="32"/>
        <v>1</v>
      </c>
      <c r="AP58" s="7">
        <f t="shared" si="33"/>
        <v>0.6587088346923341</v>
      </c>
      <c r="AQ58" s="7">
        <f t="shared" si="34"/>
        <v>0</v>
      </c>
      <c r="AR58" s="24"/>
      <c r="AS58">
        <f t="shared" si="35"/>
        <v>2003</v>
      </c>
      <c r="AT58" s="1" t="b">
        <f t="shared" si="36"/>
        <v>1</v>
      </c>
      <c r="AV58" s="1" t="b">
        <f t="shared" si="55"/>
        <v>1</v>
      </c>
      <c r="AW58" s="1" t="b">
        <f t="shared" si="56"/>
        <v>1</v>
      </c>
      <c r="AY58" s="1" t="b">
        <f t="shared" si="44"/>
        <v>1</v>
      </c>
      <c r="AZ58" s="39" t="b">
        <f t="shared" si="38"/>
        <v>1</v>
      </c>
      <c r="BA58" s="1" t="b">
        <f t="shared" si="39"/>
        <v>1</v>
      </c>
      <c r="BC58">
        <f t="shared" si="40"/>
        <v>2003</v>
      </c>
      <c r="BD58" s="2">
        <f t="shared" si="57"/>
        <v>59673.997944743562</v>
      </c>
      <c r="BE58" s="2"/>
      <c r="BF58" s="2">
        <f t="shared" si="48"/>
        <v>44755.498458557668</v>
      </c>
      <c r="BG58" s="2">
        <f t="shared" si="48"/>
        <v>29836.998972371781</v>
      </c>
      <c r="BH58" s="2"/>
      <c r="BI58" s="2">
        <f t="shared" si="58"/>
        <v>44755.498458557668</v>
      </c>
      <c r="BJ58" s="2">
        <f t="shared" si="49"/>
        <v>119347.99588948712</v>
      </c>
      <c r="BK58" s="2">
        <f t="shared" si="41"/>
        <v>298369.98972371779</v>
      </c>
      <c r="BL58" s="2">
        <f t="shared" si="42"/>
        <v>0</v>
      </c>
      <c r="BM58" s="2"/>
    </row>
    <row r="59" spans="1:65" x14ac:dyDescent="0.2">
      <c r="A59">
        <f t="shared" si="6"/>
        <v>2004</v>
      </c>
      <c r="B59" s="2">
        <f t="shared" si="46"/>
        <v>66082.985324009016</v>
      </c>
      <c r="C59" s="2"/>
      <c r="D59" s="2">
        <f t="shared" si="50"/>
        <v>53864.585059827907</v>
      </c>
      <c r="E59" s="2">
        <f t="shared" si="51"/>
        <v>35773.6666579046</v>
      </c>
      <c r="F59" s="2"/>
      <c r="G59" s="2">
        <f t="shared" si="45"/>
        <v>54081.20167236733</v>
      </c>
      <c r="H59" s="2">
        <f t="shared" si="15"/>
        <v>124408.35091520137</v>
      </c>
      <c r="I59" s="2">
        <f t="shared" si="43"/>
        <v>334210.78962931019</v>
      </c>
      <c r="J59" s="2">
        <f>I59-I58</f>
        <v>28836.34807312151</v>
      </c>
      <c r="K59" s="83">
        <f>(J59/I58)</f>
        <v>9.4429474602299487E-2</v>
      </c>
      <c r="L59" s="7">
        <f t="shared" si="18"/>
        <v>1.0944294746022996</v>
      </c>
      <c r="N59">
        <f t="shared" si="19"/>
        <v>2004</v>
      </c>
      <c r="O59" s="2">
        <f t="shared" si="20"/>
        <v>7235.5987429424285</v>
      </c>
      <c r="P59" s="2"/>
      <c r="Q59" s="2"/>
      <c r="R59">
        <f t="shared" si="21"/>
        <v>2004</v>
      </c>
      <c r="S59" s="2">
        <f t="shared" si="52"/>
        <v>64635.865575420532</v>
      </c>
      <c r="T59" s="2"/>
      <c r="U59" s="2">
        <f t="shared" si="53"/>
        <v>52417.465311239423</v>
      </c>
      <c r="V59" s="2">
        <f t="shared" si="53"/>
        <v>34326.546909316115</v>
      </c>
      <c r="W59" s="2"/>
      <c r="X59" s="2">
        <f t="shared" si="54"/>
        <v>52634.081923778846</v>
      </c>
      <c r="Y59" s="2">
        <f t="shared" si="54"/>
        <v>122961.23116661288</v>
      </c>
      <c r="Z59" s="2">
        <f t="shared" si="24"/>
        <v>326975.19088636781</v>
      </c>
      <c r="AA59" s="2">
        <f>Z59-Z58</f>
        <v>28605.201162650017</v>
      </c>
      <c r="AB59" s="83">
        <f>(AA59/Z58)</f>
        <v>9.587157605608268E-2</v>
      </c>
      <c r="AC59" s="7">
        <f t="shared" si="27"/>
        <v>1.0958715760560827</v>
      </c>
      <c r="AD59" s="2">
        <f t="shared" si="28"/>
        <v>0</v>
      </c>
      <c r="AE59" s="2"/>
      <c r="AG59">
        <f t="shared" si="29"/>
        <v>2004</v>
      </c>
      <c r="AH59" s="6">
        <f t="shared" si="59"/>
        <v>0.19767819509549009</v>
      </c>
      <c r="AI59" s="7"/>
      <c r="AJ59" s="6">
        <f t="shared" si="47"/>
        <v>0.16031022160777889</v>
      </c>
      <c r="AK59" s="6">
        <f t="shared" si="47"/>
        <v>0.1049821144419653</v>
      </c>
      <c r="AL59" s="7"/>
      <c r="AM59" s="6">
        <f t="shared" si="30"/>
        <v>0.16097270799383226</v>
      </c>
      <c r="AN59" s="6">
        <f t="shared" si="31"/>
        <v>0.37605676086093343</v>
      </c>
      <c r="AO59" s="6">
        <f t="shared" si="32"/>
        <v>1</v>
      </c>
      <c r="AP59" s="7">
        <f t="shared" si="33"/>
        <v>0.62394323913906657</v>
      </c>
      <c r="AQ59" s="7">
        <f t="shared" si="34"/>
        <v>0</v>
      </c>
      <c r="AR59" s="24"/>
      <c r="AS59">
        <f t="shared" si="35"/>
        <v>2004</v>
      </c>
      <c r="AT59" s="1" t="b">
        <f t="shared" si="36"/>
        <v>1</v>
      </c>
      <c r="AV59" s="1" t="b">
        <f t="shared" si="55"/>
        <v>1</v>
      </c>
      <c r="AW59" s="1" t="b">
        <f t="shared" si="56"/>
        <v>1</v>
      </c>
      <c r="AY59" s="1" t="b">
        <f t="shared" si="44"/>
        <v>1</v>
      </c>
      <c r="AZ59" s="1" t="b">
        <f t="shared" si="38"/>
        <v>0</v>
      </c>
      <c r="BA59" s="1" t="b">
        <f t="shared" si="39"/>
        <v>1</v>
      </c>
      <c r="BC59">
        <f t="shared" si="40"/>
        <v>2004</v>
      </c>
      <c r="BD59" s="2">
        <f t="shared" si="57"/>
        <v>65395.038177273564</v>
      </c>
      <c r="BE59" s="2"/>
      <c r="BF59" s="2">
        <f t="shared" si="48"/>
        <v>49046.278632955167</v>
      </c>
      <c r="BG59" s="2">
        <f t="shared" si="48"/>
        <v>32697.519088636782</v>
      </c>
      <c r="BH59" s="2"/>
      <c r="BI59" s="2">
        <f t="shared" si="58"/>
        <v>49046.278632955167</v>
      </c>
      <c r="BJ59" s="2">
        <f t="shared" si="49"/>
        <v>130790.07635454713</v>
      </c>
      <c r="BK59" s="2">
        <f t="shared" si="41"/>
        <v>326975.19088636781</v>
      </c>
      <c r="BL59" s="2">
        <f t="shared" si="42"/>
        <v>0</v>
      </c>
      <c r="BM59" s="2"/>
    </row>
    <row r="60" spans="1:65" x14ac:dyDescent="0.2">
      <c r="A60">
        <f t="shared" si="6"/>
        <v>2005</v>
      </c>
      <c r="B60" s="2">
        <f t="shared" si="46"/>
        <v>68514.381498329516</v>
      </c>
      <c r="C60" s="2"/>
      <c r="D60" s="2">
        <f t="shared" si="50"/>
        <v>55878.915709312154</v>
      </c>
      <c r="E60" s="2">
        <f t="shared" si="51"/>
        <v>35105.037419133114</v>
      </c>
      <c r="F60" s="2"/>
      <c r="G60" s="2">
        <f t="shared" si="45"/>
        <v>56683.274678892616</v>
      </c>
      <c r="H60" s="2">
        <f t="shared" si="15"/>
        <v>133929.03818705626</v>
      </c>
      <c r="I60" s="2">
        <f t="shared" si="43"/>
        <v>350110.64749272366</v>
      </c>
      <c r="J60" s="2">
        <f t="shared" si="16"/>
        <v>15899.857863413461</v>
      </c>
      <c r="K60" s="83">
        <f t="shared" si="17"/>
        <v>4.7574340376768755E-2</v>
      </c>
      <c r="L60" s="7">
        <f t="shared" si="18"/>
        <v>1.0475743403767688</v>
      </c>
      <c r="N60">
        <f t="shared" si="19"/>
        <v>2005</v>
      </c>
      <c r="O60" s="2">
        <f t="shared" si="20"/>
        <v>7474.3735014595277</v>
      </c>
      <c r="P60" s="2"/>
      <c r="Q60" s="2"/>
      <c r="R60">
        <f t="shared" si="21"/>
        <v>2005</v>
      </c>
      <c r="S60" s="2">
        <f t="shared" si="52"/>
        <v>67019.506798037604</v>
      </c>
      <c r="T60" s="2"/>
      <c r="U60" s="2">
        <f t="shared" si="53"/>
        <v>54384.041009020249</v>
      </c>
      <c r="V60" s="2">
        <f t="shared" si="53"/>
        <v>33610.162718841209</v>
      </c>
      <c r="W60" s="2"/>
      <c r="X60" s="2">
        <f t="shared" si="54"/>
        <v>55188.399978600712</v>
      </c>
      <c r="Y60" s="2">
        <f t="shared" si="54"/>
        <v>132434.16348676436</v>
      </c>
      <c r="Z60" s="2">
        <f t="shared" si="24"/>
        <v>342636.27399126417</v>
      </c>
      <c r="AA60" s="2">
        <f t="shared" ref="AA60:AA70" si="60">Z60-Z59</f>
        <v>15661.083104896359</v>
      </c>
      <c r="AB60" s="83">
        <f t="shared" ref="AB60:AB70" si="61">(AA60/Z59)</f>
        <v>4.7896854383484351E-2</v>
      </c>
      <c r="AC60" s="7">
        <f t="shared" si="27"/>
        <v>1.0478968543834843</v>
      </c>
      <c r="AD60" s="2">
        <f t="shared" si="28"/>
        <v>0</v>
      </c>
      <c r="AE60" s="2"/>
      <c r="AG60">
        <f t="shared" si="29"/>
        <v>2005</v>
      </c>
      <c r="AH60" s="6">
        <f t="shared" si="59"/>
        <v>0.19559956690325883</v>
      </c>
      <c r="AI60" s="7"/>
      <c r="AJ60" s="6">
        <f t="shared" si="47"/>
        <v>0.15872236869586909</v>
      </c>
      <c r="AK60" s="6">
        <f t="shared" si="47"/>
        <v>9.8092832750388048E-2</v>
      </c>
      <c r="AL60" s="7"/>
      <c r="AM60" s="6">
        <f t="shared" ref="AM60:AM70" si="62">X60/$Z60</f>
        <v>0.16106992799019229</v>
      </c>
      <c r="AN60" s="6">
        <f t="shared" si="31"/>
        <v>0.38651530366029163</v>
      </c>
      <c r="AO60" s="6">
        <f t="shared" si="32"/>
        <v>0.99999999999999989</v>
      </c>
      <c r="AP60" s="7">
        <f t="shared" si="33"/>
        <v>0.61348469633970826</v>
      </c>
      <c r="AQ60" s="7">
        <f t="shared" si="34"/>
        <v>0</v>
      </c>
      <c r="AR60" s="24"/>
      <c r="AS60">
        <f t="shared" si="35"/>
        <v>2005</v>
      </c>
      <c r="AT60" s="1" t="b">
        <f t="shared" si="36"/>
        <v>1</v>
      </c>
      <c r="AV60" s="1" t="b">
        <f t="shared" si="55"/>
        <v>1</v>
      </c>
      <c r="AW60" s="1" t="b">
        <f t="shared" si="56"/>
        <v>1</v>
      </c>
      <c r="AY60" s="1" t="b">
        <f t="shared" si="44"/>
        <v>1</v>
      </c>
      <c r="AZ60" s="1" t="b">
        <f t="shared" si="38"/>
        <v>0</v>
      </c>
      <c r="BA60" s="1" t="b">
        <f t="shared" si="39"/>
        <v>1</v>
      </c>
      <c r="BC60">
        <f t="shared" si="40"/>
        <v>2005</v>
      </c>
      <c r="BD60" s="2">
        <f t="shared" si="57"/>
        <v>68527.254798252834</v>
      </c>
      <c r="BE60" s="2"/>
      <c r="BF60" s="2">
        <f t="shared" si="48"/>
        <v>51395.441098689626</v>
      </c>
      <c r="BG60" s="2">
        <f t="shared" si="48"/>
        <v>34263.627399126417</v>
      </c>
      <c r="BH60" s="2"/>
      <c r="BI60" s="2">
        <f t="shared" si="58"/>
        <v>51395.441098689626</v>
      </c>
      <c r="BJ60" s="2">
        <f t="shared" si="49"/>
        <v>137054.50959650567</v>
      </c>
      <c r="BK60" s="2">
        <f t="shared" si="41"/>
        <v>342636.27399126417</v>
      </c>
      <c r="BL60" s="2">
        <f t="shared" si="42"/>
        <v>0</v>
      </c>
      <c r="BM60" s="2"/>
    </row>
    <row r="61" spans="1:65" x14ac:dyDescent="0.2">
      <c r="A61">
        <f t="shared" si="6"/>
        <v>2006</v>
      </c>
      <c r="B61" s="2">
        <f t="shared" si="46"/>
        <v>79244.917448699591</v>
      </c>
      <c r="C61" s="2"/>
      <c r="D61" s="2">
        <f t="shared" si="50"/>
        <v>58383.679224878448</v>
      </c>
      <c r="E61" s="2">
        <f t="shared" si="51"/>
        <v>39627.940904733652</v>
      </c>
      <c r="F61" s="2"/>
      <c r="G61" s="2">
        <f t="shared" si="45"/>
        <v>65085.644744147583</v>
      </c>
      <c r="H61" s="2">
        <f t="shared" si="15"/>
        <v>142906.73715627645</v>
      </c>
      <c r="I61" s="2">
        <f t="shared" si="43"/>
        <v>385248.91947873571</v>
      </c>
      <c r="J61" s="2">
        <f t="shared" si="16"/>
        <v>35138.271986012056</v>
      </c>
      <c r="K61" s="83">
        <f t="shared" si="17"/>
        <v>0.10036333438485996</v>
      </c>
      <c r="L61" s="7">
        <f t="shared" si="18"/>
        <v>1.10036333438486</v>
      </c>
      <c r="N61">
        <f t="shared" si="19"/>
        <v>2006</v>
      </c>
      <c r="O61" s="2">
        <f t="shared" si="20"/>
        <v>7661.2328389960148</v>
      </c>
      <c r="P61" s="2"/>
      <c r="Q61" s="2"/>
      <c r="R61">
        <f t="shared" si="21"/>
        <v>2006</v>
      </c>
      <c r="S61" s="2">
        <f t="shared" si="52"/>
        <v>77712.67088090039</v>
      </c>
      <c r="T61" s="2"/>
      <c r="U61" s="2">
        <f t="shared" si="53"/>
        <v>56851.432657079247</v>
      </c>
      <c r="V61" s="2">
        <f t="shared" si="53"/>
        <v>38095.694336934452</v>
      </c>
      <c r="W61" s="2"/>
      <c r="X61" s="2">
        <f t="shared" si="54"/>
        <v>63553.398176348383</v>
      </c>
      <c r="Y61" s="2">
        <f t="shared" si="54"/>
        <v>141374.49058847723</v>
      </c>
      <c r="Z61" s="2">
        <f t="shared" si="24"/>
        <v>377587.68663973972</v>
      </c>
      <c r="AA61" s="2">
        <f t="shared" si="60"/>
        <v>34951.412648475554</v>
      </c>
      <c r="AB61" s="83">
        <f t="shared" si="61"/>
        <v>0.10200733343652538</v>
      </c>
      <c r="AC61" s="7">
        <f t="shared" si="27"/>
        <v>1.1020073334365255</v>
      </c>
      <c r="AD61" s="2">
        <f t="shared" si="28"/>
        <v>0</v>
      </c>
      <c r="AE61" s="2"/>
      <c r="AG61">
        <f t="shared" si="29"/>
        <v>2006</v>
      </c>
      <c r="AH61" s="6">
        <f t="shared" si="59"/>
        <v>0.20581357292788746</v>
      </c>
      <c r="AI61" s="7"/>
      <c r="AJ61" s="6">
        <f t="shared" si="47"/>
        <v>0.15056484803044382</v>
      </c>
      <c r="AK61" s="6">
        <f t="shared" si="47"/>
        <v>0.10089231107073135</v>
      </c>
      <c r="AL61" s="7"/>
      <c r="AM61" s="38">
        <f t="shared" si="62"/>
        <v>0.16831427619350661</v>
      </c>
      <c r="AN61" s="38">
        <f t="shared" si="31"/>
        <v>0.37441499177743071</v>
      </c>
      <c r="AO61" s="6">
        <f t="shared" si="32"/>
        <v>1</v>
      </c>
      <c r="AP61" s="7">
        <f t="shared" si="33"/>
        <v>0.62558500822256924</v>
      </c>
      <c r="AQ61" s="7">
        <f t="shared" si="34"/>
        <v>0</v>
      </c>
      <c r="AR61" s="24"/>
      <c r="AS61">
        <f t="shared" si="35"/>
        <v>2006</v>
      </c>
      <c r="AT61" s="1" t="b">
        <f t="shared" si="36"/>
        <v>1</v>
      </c>
      <c r="AV61" s="1" t="b">
        <f t="shared" si="55"/>
        <v>1</v>
      </c>
      <c r="AW61" s="1" t="b">
        <f t="shared" si="56"/>
        <v>1</v>
      </c>
      <c r="AY61" s="1" t="b">
        <f t="shared" si="44"/>
        <v>1</v>
      </c>
      <c r="AZ61" s="1" t="b">
        <f t="shared" si="38"/>
        <v>0</v>
      </c>
      <c r="BA61" s="1" t="b">
        <f t="shared" si="39"/>
        <v>1</v>
      </c>
      <c r="BC61">
        <f t="shared" si="40"/>
        <v>2006</v>
      </c>
      <c r="BD61" s="2">
        <f t="shared" si="57"/>
        <v>75517.537327947954</v>
      </c>
      <c r="BE61" s="2"/>
      <c r="BF61" s="2">
        <f t="shared" si="48"/>
        <v>56638.152995960954</v>
      </c>
      <c r="BG61" s="2">
        <f t="shared" si="48"/>
        <v>37758.768663973977</v>
      </c>
      <c r="BH61" s="2"/>
      <c r="BI61" s="2">
        <f t="shared" si="58"/>
        <v>56638.152995960954</v>
      </c>
      <c r="BJ61" s="2">
        <f t="shared" si="49"/>
        <v>151035.07465589591</v>
      </c>
      <c r="BK61" s="2">
        <f t="shared" si="41"/>
        <v>377587.68663973972</v>
      </c>
      <c r="BL61" s="2">
        <f t="shared" si="42"/>
        <v>0</v>
      </c>
      <c r="BM61" s="2"/>
    </row>
    <row r="62" spans="1:65" x14ac:dyDescent="0.2">
      <c r="A62">
        <f t="shared" si="6"/>
        <v>2007</v>
      </c>
      <c r="B62" s="2">
        <f t="shared" si="46"/>
        <v>79587.932589924356</v>
      </c>
      <c r="C62" s="2"/>
      <c r="D62" s="2">
        <f t="shared" si="50"/>
        <v>60048.336187847766</v>
      </c>
      <c r="E62" s="2">
        <f t="shared" si="51"/>
        <v>38195.260029729514</v>
      </c>
      <c r="F62" s="2"/>
      <c r="G62" s="2">
        <f t="shared" si="45"/>
        <v>65429.527103994005</v>
      </c>
      <c r="H62" s="2">
        <f t="shared" si="15"/>
        <v>161486.70182208388</v>
      </c>
      <c r="I62" s="2">
        <f t="shared" si="43"/>
        <v>404747.75773357949</v>
      </c>
      <c r="J62" s="2">
        <f t="shared" si="16"/>
        <v>19498.83825484378</v>
      </c>
      <c r="K62" s="83">
        <f t="shared" si="17"/>
        <v>5.0613609199026043E-2</v>
      </c>
      <c r="L62" s="7">
        <f t="shared" si="18"/>
        <v>1.0506136091990261</v>
      </c>
      <c r="N62">
        <f t="shared" si="19"/>
        <v>2007</v>
      </c>
      <c r="O62" s="2">
        <f t="shared" si="20"/>
        <v>7975.3433853948509</v>
      </c>
      <c r="P62" s="2"/>
      <c r="Q62" s="2"/>
      <c r="R62">
        <f t="shared" si="21"/>
        <v>2007</v>
      </c>
      <c r="S62" s="2">
        <f t="shared" si="52"/>
        <v>77992.86391284538</v>
      </c>
      <c r="T62" s="2"/>
      <c r="U62" s="2">
        <f t="shared" si="53"/>
        <v>58453.267510768797</v>
      </c>
      <c r="V62" s="2">
        <f t="shared" si="53"/>
        <v>36600.191352650545</v>
      </c>
      <c r="W62" s="2"/>
      <c r="X62" s="2">
        <f t="shared" si="54"/>
        <v>63834.458426915036</v>
      </c>
      <c r="Y62" s="2">
        <f t="shared" si="54"/>
        <v>159891.63314500492</v>
      </c>
      <c r="Z62" s="2">
        <f t="shared" si="24"/>
        <v>396772.41434818465</v>
      </c>
      <c r="AA62" s="2">
        <f t="shared" si="60"/>
        <v>19184.727708444931</v>
      </c>
      <c r="AB62" s="83">
        <f t="shared" si="61"/>
        <v>5.0808668786779788E-2</v>
      </c>
      <c r="AC62" s="7">
        <f t="shared" si="27"/>
        <v>1.0508086687867797</v>
      </c>
      <c r="AD62" s="2">
        <f t="shared" si="28"/>
        <v>0</v>
      </c>
      <c r="AE62" s="2"/>
      <c r="AG62">
        <f t="shared" si="29"/>
        <v>2007</v>
      </c>
      <c r="AH62" s="6">
        <f t="shared" si="59"/>
        <v>0.19656826203749972</v>
      </c>
      <c r="AI62" s="7"/>
      <c r="AJ62" s="6">
        <f t="shared" si="47"/>
        <v>0.147321903935271</v>
      </c>
      <c r="AK62" s="6">
        <f t="shared" si="47"/>
        <v>9.2244798350654286E-2</v>
      </c>
      <c r="AL62" s="7"/>
      <c r="AM62" s="6">
        <f t="shared" si="62"/>
        <v>0.16088431584081242</v>
      </c>
      <c r="AN62" s="6">
        <f t="shared" si="31"/>
        <v>0.40298071983576261</v>
      </c>
      <c r="AO62" s="6">
        <f t="shared" si="32"/>
        <v>1</v>
      </c>
      <c r="AP62" s="7">
        <f t="shared" si="33"/>
        <v>0.59701928016423744</v>
      </c>
      <c r="AQ62" s="7">
        <f t="shared" si="34"/>
        <v>0</v>
      </c>
      <c r="AR62" s="24"/>
      <c r="AS62">
        <f t="shared" si="35"/>
        <v>2007</v>
      </c>
      <c r="AT62" s="1" t="b">
        <f t="shared" si="36"/>
        <v>1</v>
      </c>
      <c r="AV62" s="1" t="b">
        <f t="shared" si="55"/>
        <v>0</v>
      </c>
      <c r="AW62" s="1" t="b">
        <f t="shared" si="56"/>
        <v>1</v>
      </c>
      <c r="AY62" s="1" t="b">
        <f t="shared" si="44"/>
        <v>1</v>
      </c>
      <c r="AZ62" s="1" t="b">
        <f t="shared" si="38"/>
        <v>0</v>
      </c>
      <c r="BA62" s="1" t="b">
        <f t="shared" si="39"/>
        <v>1</v>
      </c>
      <c r="BC62">
        <f t="shared" si="40"/>
        <v>2007</v>
      </c>
      <c r="BD62" s="2">
        <f t="shared" si="57"/>
        <v>79354.482869636937</v>
      </c>
      <c r="BE62" s="2"/>
      <c r="BF62" s="2">
        <f t="shared" si="48"/>
        <v>59515.862152227695</v>
      </c>
      <c r="BG62" s="2">
        <f t="shared" si="48"/>
        <v>39677.241434818468</v>
      </c>
      <c r="BH62" s="2"/>
      <c r="BI62" s="2">
        <f t="shared" si="58"/>
        <v>59515.862152227695</v>
      </c>
      <c r="BJ62" s="2">
        <f t="shared" si="49"/>
        <v>158708.96573927387</v>
      </c>
      <c r="BK62" s="2">
        <f t="shared" si="41"/>
        <v>396772.41434818465</v>
      </c>
      <c r="BL62" s="2">
        <f t="shared" si="42"/>
        <v>0</v>
      </c>
      <c r="BM62" s="2"/>
    </row>
    <row r="63" spans="1:65" x14ac:dyDescent="0.2">
      <c r="A63">
        <f t="shared" si="6"/>
        <v>2008</v>
      </c>
      <c r="B63" s="2">
        <f t="shared" si="46"/>
        <v>49977.453311297337</v>
      </c>
      <c r="C63" s="2"/>
      <c r="D63" s="2">
        <f t="shared" si="50"/>
        <v>34623.947965679989</v>
      </c>
      <c r="E63" s="2">
        <f t="shared" si="51"/>
        <v>25365.660449279447</v>
      </c>
      <c r="F63" s="2"/>
      <c r="G63" s="2">
        <f t="shared" si="45"/>
        <v>33268.771784473756</v>
      </c>
      <c r="H63" s="2">
        <f t="shared" si="15"/>
        <v>166723.76850910721</v>
      </c>
      <c r="I63" s="2">
        <f t="shared" si="43"/>
        <v>309959.60201983771</v>
      </c>
      <c r="J63" s="2">
        <f t="shared" si="16"/>
        <v>-94788.155713741784</v>
      </c>
      <c r="K63" s="83">
        <f t="shared" si="17"/>
        <v>-0.23419068766314199</v>
      </c>
      <c r="L63" s="7">
        <f t="shared" si="18"/>
        <v>0.76580931233685801</v>
      </c>
      <c r="N63">
        <f t="shared" si="19"/>
        <v>2008</v>
      </c>
      <c r="O63" s="2">
        <f t="shared" si="20"/>
        <v>7975.3433853948509</v>
      </c>
      <c r="P63" s="2"/>
      <c r="Q63" s="2"/>
      <c r="R63">
        <f t="shared" si="21"/>
        <v>2008</v>
      </c>
      <c r="S63" s="2">
        <f t="shared" si="52"/>
        <v>48382.384634218368</v>
      </c>
      <c r="T63" s="2"/>
      <c r="U63" s="2">
        <f t="shared" si="53"/>
        <v>33028.87928860102</v>
      </c>
      <c r="V63" s="2">
        <f t="shared" si="53"/>
        <v>23770.591772200478</v>
      </c>
      <c r="W63" s="2"/>
      <c r="X63" s="2">
        <f t="shared" si="54"/>
        <v>31673.703107394787</v>
      </c>
      <c r="Y63" s="2">
        <f t="shared" si="54"/>
        <v>165128.69983202824</v>
      </c>
      <c r="Z63" s="2">
        <f t="shared" si="24"/>
        <v>301984.25863444293</v>
      </c>
      <c r="AA63" s="2">
        <f t="shared" si="60"/>
        <v>-94788.155713741726</v>
      </c>
      <c r="AB63" s="83">
        <f t="shared" si="61"/>
        <v>-0.23889804907294057</v>
      </c>
      <c r="AC63" s="7">
        <f t="shared" si="27"/>
        <v>0.76110195092705946</v>
      </c>
      <c r="AD63" s="2">
        <f t="shared" si="28"/>
        <v>0</v>
      </c>
      <c r="AE63" s="2"/>
      <c r="AG63">
        <f t="shared" si="29"/>
        <v>2008</v>
      </c>
      <c r="AH63" s="6">
        <f t="shared" si="59"/>
        <v>0.16021492263537507</v>
      </c>
      <c r="AI63" s="7"/>
      <c r="AJ63" s="6">
        <f t="shared" si="47"/>
        <v>0.10937285088287678</v>
      </c>
      <c r="AK63" s="6">
        <f t="shared" si="47"/>
        <v>7.8714671684179352E-2</v>
      </c>
      <c r="AL63" s="7"/>
      <c r="AM63" s="6">
        <f t="shared" si="62"/>
        <v>0.10488527862552048</v>
      </c>
      <c r="AN63" s="38">
        <f t="shared" si="31"/>
        <v>0.5468122761720482</v>
      </c>
      <c r="AO63" s="6">
        <f t="shared" si="32"/>
        <v>0.99999999999999989</v>
      </c>
      <c r="AP63" s="7">
        <f t="shared" si="33"/>
        <v>0.45318772382795169</v>
      </c>
      <c r="AQ63" s="7">
        <f t="shared" si="34"/>
        <v>0</v>
      </c>
      <c r="AR63" s="24"/>
      <c r="AS63">
        <f t="shared" si="35"/>
        <v>2008</v>
      </c>
      <c r="AT63" s="1" t="b">
        <f t="shared" si="36"/>
        <v>1</v>
      </c>
      <c r="AV63" s="1" t="b">
        <f t="shared" si="55"/>
        <v>0</v>
      </c>
      <c r="AW63" s="1" t="b">
        <f t="shared" si="56"/>
        <v>1</v>
      </c>
      <c r="AY63" s="1" t="b">
        <f t="shared" si="44"/>
        <v>0</v>
      </c>
      <c r="AZ63" s="39" t="b">
        <f t="shared" si="38"/>
        <v>0</v>
      </c>
      <c r="BA63" s="1" t="b">
        <f t="shared" si="39"/>
        <v>1</v>
      </c>
      <c r="BC63">
        <f t="shared" si="40"/>
        <v>2008</v>
      </c>
      <c r="BD63" s="2">
        <f t="shared" si="57"/>
        <v>60396.851726888592</v>
      </c>
      <c r="BE63" s="2"/>
      <c r="BF63" s="2">
        <f t="shared" si="48"/>
        <v>45297.638795166436</v>
      </c>
      <c r="BG63" s="2">
        <f t="shared" si="48"/>
        <v>30198.425863444296</v>
      </c>
      <c r="BH63" s="2"/>
      <c r="BI63" s="2">
        <f t="shared" si="58"/>
        <v>45297.638795166436</v>
      </c>
      <c r="BJ63" s="2">
        <f t="shared" si="49"/>
        <v>120793.70345377718</v>
      </c>
      <c r="BK63" s="2">
        <f t="shared" si="41"/>
        <v>301984.25863444293</v>
      </c>
      <c r="BL63" s="2">
        <f t="shared" si="42"/>
        <v>0</v>
      </c>
      <c r="BM63" s="2"/>
    </row>
    <row r="64" spans="1:65" x14ac:dyDescent="0.2">
      <c r="A64">
        <f t="shared" si="6"/>
        <v>2009</v>
      </c>
      <c r="B64" s="2">
        <f t="shared" si="46"/>
        <v>76395.977749341371</v>
      </c>
      <c r="C64" s="2"/>
      <c r="D64" s="2">
        <f t="shared" si="50"/>
        <v>63515.443165806471</v>
      </c>
      <c r="E64" s="2">
        <f t="shared" si="51"/>
        <v>41105.493316803106</v>
      </c>
      <c r="F64" s="2"/>
      <c r="G64" s="2">
        <f t="shared" si="45"/>
        <v>61934.102595467215</v>
      </c>
      <c r="H64" s="2">
        <f t="shared" si="15"/>
        <v>127956.77006858616</v>
      </c>
      <c r="I64" s="2">
        <f t="shared" si="43"/>
        <v>370907.78689600434</v>
      </c>
      <c r="J64" s="2">
        <f t="shared" si="16"/>
        <v>60948.184876166633</v>
      </c>
      <c r="K64" s="83">
        <f t="shared" si="17"/>
        <v>0.19663267238375759</v>
      </c>
      <c r="L64" s="7">
        <f t="shared" si="18"/>
        <v>1.1966326723837577</v>
      </c>
      <c r="N64">
        <f t="shared" si="19"/>
        <v>2009</v>
      </c>
      <c r="O64" s="2">
        <f t="shared" si="20"/>
        <v>8198.6530001859064</v>
      </c>
      <c r="P64" s="2"/>
      <c r="Q64" s="2"/>
      <c r="R64">
        <f t="shared" si="21"/>
        <v>2009</v>
      </c>
      <c r="S64" s="2">
        <f t="shared" si="52"/>
        <v>74756.247149304196</v>
      </c>
      <c r="T64" s="2"/>
      <c r="U64" s="2">
        <f t="shared" si="53"/>
        <v>61875.712565769289</v>
      </c>
      <c r="V64" s="2">
        <f t="shared" si="53"/>
        <v>39465.762716765923</v>
      </c>
      <c r="W64" s="2"/>
      <c r="X64" s="2">
        <f t="shared" si="54"/>
        <v>60294.371995430032</v>
      </c>
      <c r="Y64" s="2">
        <f t="shared" si="54"/>
        <v>126317.03946854899</v>
      </c>
      <c r="Z64" s="2">
        <f t="shared" si="24"/>
        <v>362709.13389581844</v>
      </c>
      <c r="AA64" s="2">
        <f t="shared" si="60"/>
        <v>60724.875261375506</v>
      </c>
      <c r="AB64" s="83">
        <f t="shared" si="61"/>
        <v>0.2010862272622097</v>
      </c>
      <c r="AC64" s="7">
        <f t="shared" si="27"/>
        <v>1.2010862272622096</v>
      </c>
      <c r="AD64" s="2">
        <f t="shared" si="28"/>
        <v>0</v>
      </c>
      <c r="AE64" s="2"/>
      <c r="AG64">
        <f t="shared" si="29"/>
        <v>2009</v>
      </c>
      <c r="AH64" s="6">
        <f t="shared" si="59"/>
        <v>0.20610522361638833</v>
      </c>
      <c r="AI64" s="7"/>
      <c r="AJ64" s="6">
        <f t="shared" si="47"/>
        <v>0.17059320205468539</v>
      </c>
      <c r="AK64" s="6">
        <f t="shared" si="47"/>
        <v>0.1088082957626916</v>
      </c>
      <c r="AL64" s="7"/>
      <c r="AM64" s="6">
        <f t="shared" si="62"/>
        <v>0.1662333985025822</v>
      </c>
      <c r="AN64" s="6">
        <f t="shared" si="31"/>
        <v>0.34825988006365244</v>
      </c>
      <c r="AO64" s="6">
        <f t="shared" si="32"/>
        <v>1</v>
      </c>
      <c r="AP64" s="7">
        <f t="shared" si="33"/>
        <v>0.65174011993634751</v>
      </c>
      <c r="AQ64" s="7">
        <f t="shared" si="34"/>
        <v>0</v>
      </c>
      <c r="AR64" s="24"/>
      <c r="AS64">
        <f t="shared" si="35"/>
        <v>2009</v>
      </c>
      <c r="AT64" s="1" t="b">
        <f t="shared" si="36"/>
        <v>1</v>
      </c>
      <c r="AV64" s="1" t="b">
        <f t="shared" si="55"/>
        <v>1</v>
      </c>
      <c r="AW64" s="1" t="b">
        <f t="shared" si="56"/>
        <v>1</v>
      </c>
      <c r="AY64" s="1" t="b">
        <f t="shared" si="44"/>
        <v>1</v>
      </c>
      <c r="AZ64" s="1" t="b">
        <f t="shared" si="38"/>
        <v>1</v>
      </c>
      <c r="BA64" s="1" t="b">
        <f t="shared" si="39"/>
        <v>1</v>
      </c>
      <c r="BC64">
        <f t="shared" si="40"/>
        <v>2009</v>
      </c>
      <c r="BD64" s="2">
        <f t="shared" si="57"/>
        <v>72541.82677916369</v>
      </c>
      <c r="BE64" s="2"/>
      <c r="BF64" s="2">
        <f t="shared" si="48"/>
        <v>54406.370084372764</v>
      </c>
      <c r="BG64" s="2">
        <f t="shared" si="48"/>
        <v>36270.913389581845</v>
      </c>
      <c r="BH64" s="2"/>
      <c r="BI64" s="2">
        <f t="shared" si="58"/>
        <v>54406.370084372764</v>
      </c>
      <c r="BJ64" s="2">
        <f t="shared" si="49"/>
        <v>145083.65355832738</v>
      </c>
      <c r="BK64" s="2">
        <f t="shared" si="41"/>
        <v>362709.13389581844</v>
      </c>
      <c r="BL64" s="2">
        <f t="shared" si="42"/>
        <v>0</v>
      </c>
      <c r="BM64" s="2"/>
    </row>
    <row r="65" spans="1:65" x14ac:dyDescent="0.2">
      <c r="A65">
        <f t="shared" si="6"/>
        <v>2010</v>
      </c>
      <c r="B65" s="2">
        <f t="shared" si="46"/>
        <v>83357.813151936993</v>
      </c>
      <c r="C65" s="2"/>
      <c r="D65" s="2">
        <f t="shared" si="50"/>
        <v>68258.23190785406</v>
      </c>
      <c r="E65" s="2">
        <f t="shared" si="51"/>
        <v>46325.210581173938</v>
      </c>
      <c r="F65" s="2"/>
      <c r="G65" s="2">
        <f t="shared" si="45"/>
        <v>60456.358437755014</v>
      </c>
      <c r="H65" s="2">
        <f t="shared" si="15"/>
        <v>154398.02411677199</v>
      </c>
      <c r="I65" s="2">
        <f t="shared" si="43"/>
        <v>412795.63819549204</v>
      </c>
      <c r="J65" s="2">
        <f t="shared" si="16"/>
        <v>41887.851299487695</v>
      </c>
      <c r="K65" s="83">
        <f t="shared" si="17"/>
        <v>0.11293332946723028</v>
      </c>
      <c r="L65" s="7">
        <f t="shared" si="18"/>
        <v>1.1129333294672303</v>
      </c>
      <c r="N65">
        <f t="shared" si="19"/>
        <v>2010</v>
      </c>
      <c r="O65" s="2">
        <f t="shared" si="20"/>
        <v>8313.4341421885092</v>
      </c>
      <c r="P65" s="2"/>
      <c r="Q65" s="2"/>
      <c r="R65">
        <f t="shared" si="21"/>
        <v>2010</v>
      </c>
      <c r="S65" s="2">
        <f t="shared" si="52"/>
        <v>81695.126323499295</v>
      </c>
      <c r="T65" s="2"/>
      <c r="U65" s="2">
        <f t="shared" si="53"/>
        <v>66595.545079416363</v>
      </c>
      <c r="V65" s="2">
        <f t="shared" si="53"/>
        <v>44662.523752736233</v>
      </c>
      <c r="W65" s="2"/>
      <c r="X65" s="2">
        <f t="shared" si="54"/>
        <v>58793.671609317309</v>
      </c>
      <c r="Y65" s="2">
        <f t="shared" si="54"/>
        <v>152735.3372883343</v>
      </c>
      <c r="Z65" s="2">
        <f t="shared" si="24"/>
        <v>404482.20405330346</v>
      </c>
      <c r="AA65" s="2">
        <f t="shared" si="60"/>
        <v>41773.070157485025</v>
      </c>
      <c r="AB65" s="83">
        <f t="shared" si="61"/>
        <v>0.11516961182864387</v>
      </c>
      <c r="AC65" s="7">
        <f t="shared" si="27"/>
        <v>1.1151696118286438</v>
      </c>
      <c r="AD65" s="2">
        <f t="shared" si="28"/>
        <v>0</v>
      </c>
      <c r="AE65" s="2"/>
      <c r="AG65">
        <f t="shared" si="29"/>
        <v>2010</v>
      </c>
      <c r="AH65" s="6">
        <f t="shared" si="59"/>
        <v>0.20197458752161407</v>
      </c>
      <c r="AI65" s="7"/>
      <c r="AJ65" s="6">
        <f t="shared" si="47"/>
        <v>0.16464394332325255</v>
      </c>
      <c r="AK65" s="6">
        <f t="shared" si="47"/>
        <v>0.1104190080680299</v>
      </c>
      <c r="AL65" s="7"/>
      <c r="AM65" s="6">
        <f t="shared" si="62"/>
        <v>0.14535539764209099</v>
      </c>
      <c r="AN65" s="38">
        <f t="shared" si="31"/>
        <v>0.3776070634450126</v>
      </c>
      <c r="AO65" s="6">
        <f t="shared" si="32"/>
        <v>1</v>
      </c>
      <c r="AP65" s="7">
        <f t="shared" si="33"/>
        <v>0.62239293655498751</v>
      </c>
      <c r="AQ65" s="7">
        <f t="shared" si="34"/>
        <v>0</v>
      </c>
      <c r="AR65" s="24"/>
      <c r="AS65">
        <f t="shared" si="35"/>
        <v>2010</v>
      </c>
      <c r="AT65" s="1" t="b">
        <f t="shared" si="36"/>
        <v>1</v>
      </c>
      <c r="AV65" s="1" t="b">
        <f t="shared" si="55"/>
        <v>1</v>
      </c>
      <c r="AW65" s="1" t="b">
        <f t="shared" si="56"/>
        <v>1</v>
      </c>
      <c r="AY65" s="1" t="b">
        <f t="shared" si="44"/>
        <v>0</v>
      </c>
      <c r="AZ65" s="1" t="b">
        <f t="shared" si="38"/>
        <v>0</v>
      </c>
      <c r="BA65" s="1" t="b">
        <f t="shared" si="39"/>
        <v>1</v>
      </c>
      <c r="BC65">
        <f t="shared" si="40"/>
        <v>2010</v>
      </c>
      <c r="BD65" s="2">
        <f t="shared" si="57"/>
        <v>80896.440810660701</v>
      </c>
      <c r="BE65" s="2"/>
      <c r="BF65" s="2">
        <f t="shared" si="48"/>
        <v>60672.330607995515</v>
      </c>
      <c r="BG65" s="2">
        <f t="shared" si="48"/>
        <v>40448.22040533035</v>
      </c>
      <c r="BH65" s="2"/>
      <c r="BI65" s="2">
        <f t="shared" si="58"/>
        <v>60672.330607995515</v>
      </c>
      <c r="BJ65" s="2">
        <f t="shared" si="49"/>
        <v>161792.8816213214</v>
      </c>
      <c r="BK65" s="2">
        <f t="shared" si="41"/>
        <v>404482.20405330346</v>
      </c>
      <c r="BL65" s="2">
        <f t="shared" si="42"/>
        <v>0</v>
      </c>
      <c r="BM65" s="2"/>
    </row>
    <row r="66" spans="1:65" x14ac:dyDescent="0.2">
      <c r="A66">
        <f t="shared" si="6"/>
        <v>2011</v>
      </c>
      <c r="B66" s="2">
        <f t="shared" si="46"/>
        <v>82490.100694630717</v>
      </c>
      <c r="C66" s="2"/>
      <c r="D66" s="2">
        <f t="shared" si="50"/>
        <v>59392.14443216681</v>
      </c>
      <c r="E66" s="2">
        <f t="shared" si="51"/>
        <v>39315.670233981102</v>
      </c>
      <c r="F66" s="2"/>
      <c r="G66" s="2">
        <f t="shared" si="45"/>
        <v>51838.439271471369</v>
      </c>
      <c r="H66" s="2">
        <f t="shared" si="15"/>
        <v>174024.42347189333</v>
      </c>
      <c r="I66" s="2">
        <f t="shared" si="43"/>
        <v>407060.77810414333</v>
      </c>
      <c r="J66" s="2">
        <f t="shared" si="16"/>
        <v>-5734.8600913487026</v>
      </c>
      <c r="K66" s="83">
        <f t="shared" si="17"/>
        <v>-1.3892734226597578E-2</v>
      </c>
      <c r="L66" s="7">
        <f t="shared" si="18"/>
        <v>0.98610726577340246</v>
      </c>
      <c r="N66">
        <f t="shared" si="19"/>
        <v>2011</v>
      </c>
      <c r="O66" s="2">
        <f t="shared" si="20"/>
        <v>8562.8371664541646</v>
      </c>
      <c r="P66" s="2"/>
      <c r="Q66" s="2"/>
      <c r="R66">
        <f t="shared" si="21"/>
        <v>2011</v>
      </c>
      <c r="S66" s="2">
        <f t="shared" si="52"/>
        <v>80777.533261339879</v>
      </c>
      <c r="T66" s="2"/>
      <c r="U66" s="2">
        <f t="shared" si="53"/>
        <v>57679.576998875978</v>
      </c>
      <c r="V66" s="2">
        <f t="shared" si="53"/>
        <v>37603.102800690271</v>
      </c>
      <c r="W66" s="2"/>
      <c r="X66" s="2">
        <f t="shared" si="54"/>
        <v>50125.871838180537</v>
      </c>
      <c r="Y66" s="2">
        <f t="shared" si="54"/>
        <v>172311.85603860251</v>
      </c>
      <c r="Z66" s="2">
        <f t="shared" si="24"/>
        <v>398497.94093768916</v>
      </c>
      <c r="AA66" s="2">
        <f t="shared" si="60"/>
        <v>-5984.2631156143034</v>
      </c>
      <c r="AB66" s="83">
        <f t="shared" si="61"/>
        <v>-1.479487368207103E-2</v>
      </c>
      <c r="AC66" s="7">
        <f t="shared" si="27"/>
        <v>0.985205126317929</v>
      </c>
      <c r="AD66" s="2">
        <f t="shared" si="28"/>
        <v>0</v>
      </c>
      <c r="AE66" s="2"/>
      <c r="AG66">
        <f t="shared" si="29"/>
        <v>2011</v>
      </c>
      <c r="AH66" s="6">
        <f t="shared" si="59"/>
        <v>0.20270502043565289</v>
      </c>
      <c r="AI66" s="7"/>
      <c r="AJ66" s="6">
        <f t="shared" si="47"/>
        <v>0.14474247185105282</v>
      </c>
      <c r="AK66" s="6">
        <f t="shared" si="47"/>
        <v>9.4362100622673112E-2</v>
      </c>
      <c r="AL66" s="7"/>
      <c r="AM66" s="6">
        <f t="shared" si="62"/>
        <v>0.12578702846050197</v>
      </c>
      <c r="AN66" s="6">
        <f t="shared" si="31"/>
        <v>0.43240337863011924</v>
      </c>
      <c r="AO66" s="6">
        <f t="shared" si="32"/>
        <v>1</v>
      </c>
      <c r="AP66" s="7">
        <f t="shared" si="33"/>
        <v>0.56759662136988076</v>
      </c>
      <c r="AQ66" s="7">
        <f t="shared" si="34"/>
        <v>0</v>
      </c>
      <c r="AR66" s="24"/>
      <c r="AS66">
        <f t="shared" si="35"/>
        <v>2011</v>
      </c>
      <c r="AT66" s="1" t="b">
        <f t="shared" si="36"/>
        <v>1</v>
      </c>
      <c r="AV66" s="1" t="b">
        <f t="shared" si="55"/>
        <v>0</v>
      </c>
      <c r="AW66" s="1" t="b">
        <f t="shared" si="56"/>
        <v>1</v>
      </c>
      <c r="AY66" s="1" t="b">
        <f t="shared" si="44"/>
        <v>0</v>
      </c>
      <c r="AZ66" s="1" t="b">
        <f t="shared" si="38"/>
        <v>0</v>
      </c>
      <c r="BA66" s="1" t="b">
        <f t="shared" si="39"/>
        <v>1</v>
      </c>
      <c r="BC66">
        <f t="shared" si="40"/>
        <v>2011</v>
      </c>
      <c r="BD66" s="2">
        <f t="shared" si="57"/>
        <v>79699.58818753784</v>
      </c>
      <c r="BE66" s="2"/>
      <c r="BF66" s="2">
        <f t="shared" si="48"/>
        <v>59774.691140653369</v>
      </c>
      <c r="BG66" s="2">
        <f t="shared" si="48"/>
        <v>39849.79409376892</v>
      </c>
      <c r="BH66" s="2"/>
      <c r="BI66" s="2">
        <f t="shared" si="58"/>
        <v>59774.691140653369</v>
      </c>
      <c r="BJ66" s="2">
        <f t="shared" si="49"/>
        <v>159399.17637507568</v>
      </c>
      <c r="BK66" s="2">
        <f t="shared" si="41"/>
        <v>398497.94093768916</v>
      </c>
      <c r="BL66" s="2">
        <f t="shared" si="42"/>
        <v>0</v>
      </c>
      <c r="BM66" s="2"/>
    </row>
    <row r="67" spans="1:65" x14ac:dyDescent="0.2">
      <c r="A67">
        <f t="shared" si="6"/>
        <v>2012</v>
      </c>
      <c r="B67" s="2">
        <f t="shared" si="46"/>
        <v>92308.063038806315</v>
      </c>
      <c r="C67" s="2"/>
      <c r="D67" s="2">
        <f t="shared" si="50"/>
        <v>69219.092340876596</v>
      </c>
      <c r="E67" s="2">
        <f t="shared" si="51"/>
        <v>47038.696948284836</v>
      </c>
      <c r="F67" s="2"/>
      <c r="G67" s="2">
        <f t="shared" si="45"/>
        <v>70617.820113567897</v>
      </c>
      <c r="H67" s="2">
        <f t="shared" si="15"/>
        <v>165854.84301826626</v>
      </c>
      <c r="I67" s="2">
        <f t="shared" si="43"/>
        <v>445038.51545980189</v>
      </c>
      <c r="J67" s="2">
        <f t="shared" si="16"/>
        <v>37977.737355658552</v>
      </c>
      <c r="K67" s="83">
        <f t="shared" si="17"/>
        <v>9.3297461702247925E-2</v>
      </c>
      <c r="L67" s="7">
        <f t="shared" si="18"/>
        <v>1.093297461702248</v>
      </c>
      <c r="N67">
        <f t="shared" si="19"/>
        <v>2012</v>
      </c>
      <c r="O67" s="2">
        <f t="shared" si="20"/>
        <v>8716.9682354503402</v>
      </c>
      <c r="P67" s="2"/>
      <c r="Q67" s="2"/>
      <c r="R67">
        <f t="shared" si="21"/>
        <v>2012</v>
      </c>
      <c r="S67" s="2">
        <f t="shared" si="52"/>
        <v>90564.669391716248</v>
      </c>
      <c r="T67" s="2"/>
      <c r="U67" s="2">
        <f t="shared" si="53"/>
        <v>67475.698693786529</v>
      </c>
      <c r="V67" s="2">
        <f t="shared" si="53"/>
        <v>45295.30330119477</v>
      </c>
      <c r="W67" s="2"/>
      <c r="X67" s="2">
        <f t="shared" si="54"/>
        <v>68874.426466477831</v>
      </c>
      <c r="Y67" s="2">
        <f t="shared" si="54"/>
        <v>164111.44937117619</v>
      </c>
      <c r="Z67" s="2">
        <f t="shared" si="24"/>
        <v>436321.54722435155</v>
      </c>
      <c r="AA67" s="2">
        <f t="shared" si="60"/>
        <v>37823.606286662398</v>
      </c>
      <c r="AB67" s="83">
        <f t="shared" si="61"/>
        <v>9.4915437198147684E-2</v>
      </c>
      <c r="AC67" s="7">
        <f t="shared" si="27"/>
        <v>1.0949154371981478</v>
      </c>
      <c r="AD67" s="2">
        <f t="shared" si="28"/>
        <v>0</v>
      </c>
      <c r="AE67" s="2"/>
      <c r="AG67">
        <f t="shared" si="29"/>
        <v>2012</v>
      </c>
      <c r="AH67" s="6">
        <f t="shared" si="59"/>
        <v>0.20756405446359708</v>
      </c>
      <c r="AI67" s="7"/>
      <c r="AJ67" s="6">
        <f t="shared" si="47"/>
        <v>0.15464672584480751</v>
      </c>
      <c r="AK67" s="6">
        <f t="shared" si="47"/>
        <v>0.10381174981923239</v>
      </c>
      <c r="AL67" s="7"/>
      <c r="AM67" s="6">
        <f t="shared" si="62"/>
        <v>0.1578524528633086</v>
      </c>
      <c r="AN67" s="6">
        <f t="shared" si="31"/>
        <v>0.37612501700905449</v>
      </c>
      <c r="AO67" s="6">
        <f t="shared" si="32"/>
        <v>1</v>
      </c>
      <c r="AP67" s="7">
        <f t="shared" si="33"/>
        <v>0.62387498299094557</v>
      </c>
      <c r="AQ67" s="7">
        <f t="shared" si="34"/>
        <v>0</v>
      </c>
      <c r="AR67" s="24"/>
      <c r="AS67">
        <f t="shared" si="35"/>
        <v>2012</v>
      </c>
      <c r="AT67" s="1" t="b">
        <f t="shared" si="36"/>
        <v>1</v>
      </c>
      <c r="AV67" s="1" t="b">
        <f t="shared" si="55"/>
        <v>1</v>
      </c>
      <c r="AW67" s="1" t="b">
        <f t="shared" si="56"/>
        <v>1</v>
      </c>
      <c r="AY67" s="1" t="b">
        <f t="shared" si="44"/>
        <v>1</v>
      </c>
      <c r="AZ67" s="1" t="b">
        <f t="shared" si="38"/>
        <v>0</v>
      </c>
      <c r="BA67" s="1" t="b">
        <f t="shared" si="39"/>
        <v>1</v>
      </c>
      <c r="BC67">
        <f t="shared" si="40"/>
        <v>2012</v>
      </c>
      <c r="BD67" s="2">
        <f t="shared" si="57"/>
        <v>87264.30944487032</v>
      </c>
      <c r="BE67" s="2"/>
      <c r="BF67" s="2">
        <f t="shared" si="48"/>
        <v>65448.232083652729</v>
      </c>
      <c r="BG67" s="2">
        <f t="shared" si="48"/>
        <v>43632.15472243516</v>
      </c>
      <c r="BH67" s="2"/>
      <c r="BI67" s="2">
        <f t="shared" si="58"/>
        <v>65448.232083652729</v>
      </c>
      <c r="BJ67" s="2">
        <f t="shared" si="49"/>
        <v>174528.61888974064</v>
      </c>
      <c r="BK67" s="2">
        <f t="shared" si="41"/>
        <v>436321.54722435155</v>
      </c>
      <c r="BL67" s="2">
        <f t="shared" si="42"/>
        <v>0</v>
      </c>
      <c r="BM67" s="2"/>
    </row>
    <row r="68" spans="1:65" x14ac:dyDescent="0.2">
      <c r="A68">
        <f t="shared" si="6"/>
        <v>2013</v>
      </c>
      <c r="B68" s="2">
        <f t="shared" si="46"/>
        <v>115345.9642242296</v>
      </c>
      <c r="C68" s="2"/>
      <c r="D68" s="2">
        <f t="shared" si="50"/>
        <v>88355.113312931193</v>
      </c>
      <c r="E68" s="2">
        <f t="shared" si="51"/>
        <v>60046.571329015263</v>
      </c>
      <c r="F68" s="2"/>
      <c r="G68" s="2">
        <f t="shared" si="45"/>
        <v>75291.646189034087</v>
      </c>
      <c r="H68" s="2">
        <f t="shared" si="15"/>
        <v>170584.2721028325</v>
      </c>
      <c r="I68" s="2">
        <f t="shared" ref="I68:I69" si="63">SUM(B68:H68)</f>
        <v>509623.56715804263</v>
      </c>
      <c r="J68" s="2">
        <f t="shared" si="16"/>
        <v>64585.051698240743</v>
      </c>
      <c r="K68" s="83">
        <f t="shared" si="17"/>
        <v>0.14512238706241681</v>
      </c>
      <c r="L68" s="7">
        <f t="shared" si="18"/>
        <v>1.1451223870624168</v>
      </c>
      <c r="N68">
        <f t="shared" si="19"/>
        <v>2013</v>
      </c>
      <c r="O68" s="2">
        <f t="shared" si="20"/>
        <v>8817.7007973373929</v>
      </c>
      <c r="P68" s="2"/>
      <c r="Q68" s="2"/>
      <c r="R68">
        <f t="shared" si="21"/>
        <v>2013</v>
      </c>
      <c r="S68" s="2">
        <f t="shared" si="52"/>
        <v>113582.42406476212</v>
      </c>
      <c r="T68" s="2"/>
      <c r="U68" s="2">
        <f t="shared" si="53"/>
        <v>86591.573153463716</v>
      </c>
      <c r="V68" s="2">
        <f t="shared" si="53"/>
        <v>58283.031169547787</v>
      </c>
      <c r="W68" s="2"/>
      <c r="X68" s="2">
        <f t="shared" si="54"/>
        <v>73528.10602956661</v>
      </c>
      <c r="Y68" s="2">
        <f t="shared" si="54"/>
        <v>168820.73194336501</v>
      </c>
      <c r="Z68" s="2">
        <f t="shared" si="24"/>
        <v>500805.86636070529</v>
      </c>
      <c r="AA68" s="2">
        <f t="shared" si="60"/>
        <v>64484.319136353733</v>
      </c>
      <c r="AB68" s="83">
        <f t="shared" si="61"/>
        <v>0.14779081974422095</v>
      </c>
      <c r="AC68" s="7">
        <f t="shared" si="27"/>
        <v>1.147790819744221</v>
      </c>
      <c r="AD68" s="2">
        <f t="shared" si="28"/>
        <v>0</v>
      </c>
      <c r="AE68" s="2"/>
      <c r="AG68">
        <f t="shared" si="29"/>
        <v>2013</v>
      </c>
      <c r="AH68" s="6">
        <f t="shared" si="59"/>
        <v>0.22679930826320316</v>
      </c>
      <c r="AI68" s="7"/>
      <c r="AJ68" s="6">
        <f t="shared" si="47"/>
        <v>0.17290447051412164</v>
      </c>
      <c r="AK68" s="6">
        <f t="shared" si="47"/>
        <v>0.11637849131657226</v>
      </c>
      <c r="AL68" s="7"/>
      <c r="AM68" s="6">
        <f t="shared" si="62"/>
        <v>0.14681957814089983</v>
      </c>
      <c r="AN68" s="6">
        <f t="shared" si="31"/>
        <v>0.33709815176520302</v>
      </c>
      <c r="AO68" s="6">
        <f t="shared" si="32"/>
        <v>1</v>
      </c>
      <c r="AP68" s="7">
        <f t="shared" si="33"/>
        <v>0.66290184823479692</v>
      </c>
      <c r="AQ68" s="7">
        <f t="shared" si="34"/>
        <v>0</v>
      </c>
      <c r="AR68" s="24"/>
      <c r="AS68">
        <f t="shared" si="35"/>
        <v>2013</v>
      </c>
      <c r="AT68" s="1" t="b">
        <f t="shared" si="36"/>
        <v>1</v>
      </c>
      <c r="AV68" s="1" t="b">
        <f t="shared" si="55"/>
        <v>1</v>
      </c>
      <c r="AW68" s="1" t="b">
        <f t="shared" si="56"/>
        <v>1</v>
      </c>
      <c r="AY68" s="1" t="b">
        <f t="shared" si="44"/>
        <v>0</v>
      </c>
      <c r="AZ68" s="1" t="b">
        <f t="shared" si="38"/>
        <v>1</v>
      </c>
      <c r="BA68" s="1" t="b">
        <f t="shared" si="39"/>
        <v>1</v>
      </c>
      <c r="BC68">
        <f t="shared" si="40"/>
        <v>2013</v>
      </c>
      <c r="BD68" s="2">
        <f t="shared" si="57"/>
        <v>100161.17327214107</v>
      </c>
      <c r="BE68" s="2"/>
      <c r="BF68" s="2">
        <f t="shared" si="48"/>
        <v>75120.879954105796</v>
      </c>
      <c r="BG68" s="2">
        <f t="shared" si="48"/>
        <v>50080.586636070533</v>
      </c>
      <c r="BH68" s="2"/>
      <c r="BI68" s="2">
        <f t="shared" si="58"/>
        <v>75120.879954105796</v>
      </c>
      <c r="BJ68" s="2">
        <f t="shared" si="49"/>
        <v>200322.34654428213</v>
      </c>
      <c r="BK68" s="2">
        <f t="shared" si="41"/>
        <v>500805.86636070529</v>
      </c>
      <c r="BL68" s="2">
        <f t="shared" si="42"/>
        <v>0</v>
      </c>
      <c r="BM68" s="2"/>
    </row>
    <row r="69" spans="1:65" x14ac:dyDescent="0.2">
      <c r="A69">
        <f t="shared" si="6"/>
        <v>2014</v>
      </c>
      <c r="B69" s="2">
        <f t="shared" si="46"/>
        <v>113692.94778120733</v>
      </c>
      <c r="C69" s="2"/>
      <c r="D69" s="2">
        <f t="shared" si="50"/>
        <v>85337.319627864199</v>
      </c>
      <c r="E69" s="2">
        <f t="shared" si="51"/>
        <v>53771.525871148937</v>
      </c>
      <c r="F69" s="2"/>
      <c r="G69" s="2">
        <f t="shared" si="45"/>
        <v>71935.754644051718</v>
      </c>
      <c r="H69" s="2">
        <f t="shared" si="15"/>
        <v>211860.91370523282</v>
      </c>
      <c r="I69" s="2">
        <f t="shared" si="63"/>
        <v>536598.46162950504</v>
      </c>
      <c r="J69" s="2">
        <f t="shared" si="16"/>
        <v>26974.894471462409</v>
      </c>
      <c r="K69" s="83">
        <f t="shared" si="17"/>
        <v>5.2931018519983497E-2</v>
      </c>
      <c r="L69" s="7">
        <f t="shared" si="18"/>
        <v>1.0529310185199834</v>
      </c>
      <c r="N69">
        <f t="shared" si="19"/>
        <v>2014</v>
      </c>
      <c r="O69" s="2">
        <f t="shared" si="20"/>
        <v>8931.4491376230453</v>
      </c>
      <c r="P69" s="2"/>
      <c r="R69">
        <f t="shared" si="21"/>
        <v>2014</v>
      </c>
      <c r="S69" s="2">
        <f t="shared" si="52"/>
        <v>111906.65795368272</v>
      </c>
      <c r="T69" s="2"/>
      <c r="U69" s="2">
        <f t="shared" si="53"/>
        <v>83551.029800339587</v>
      </c>
      <c r="V69" s="2">
        <f t="shared" si="53"/>
        <v>51985.236043624325</v>
      </c>
      <c r="W69" s="2"/>
      <c r="X69" s="2">
        <f t="shared" si="54"/>
        <v>70149.464816527106</v>
      </c>
      <c r="Y69" s="2">
        <f t="shared" si="54"/>
        <v>210074.62387770822</v>
      </c>
      <c r="Z69" s="2">
        <f t="shared" si="24"/>
        <v>527667.01249188196</v>
      </c>
      <c r="AA69" s="2">
        <f t="shared" si="60"/>
        <v>26861.146131176676</v>
      </c>
      <c r="AB69" s="83">
        <f t="shared" si="61"/>
        <v>5.3635845614935236E-2</v>
      </c>
      <c r="AC69" s="7">
        <f t="shared" si="27"/>
        <v>1.0536358456149353</v>
      </c>
      <c r="AD69" s="2">
        <f t="shared" si="28"/>
        <v>0</v>
      </c>
      <c r="AE69" s="2"/>
      <c r="AG69">
        <f t="shared" si="29"/>
        <v>2014</v>
      </c>
      <c r="AH69" s="6">
        <f t="shared" si="59"/>
        <v>0.21207817677517671</v>
      </c>
      <c r="AI69" s="7"/>
      <c r="AJ69" s="6">
        <f t="shared" si="47"/>
        <v>0.15834044543693168</v>
      </c>
      <c r="AK69" s="6">
        <f t="shared" si="47"/>
        <v>9.8519018268977174E-2</v>
      </c>
      <c r="AL69" s="7"/>
      <c r="AM69" s="6">
        <f t="shared" si="62"/>
        <v>0.13294267626329273</v>
      </c>
      <c r="AN69" s="6">
        <f t="shared" si="31"/>
        <v>0.39811968325562169</v>
      </c>
      <c r="AO69" s="6">
        <f t="shared" ref="AO69:AO70" si="64">SUM(AH69:AN69)</f>
        <v>1</v>
      </c>
      <c r="AP69" s="7">
        <f t="shared" ref="AP69:AP70" si="65">SUM(AH69:AM69)</f>
        <v>0.60188031674437836</v>
      </c>
      <c r="AQ69" s="7">
        <f t="shared" si="34"/>
        <v>0</v>
      </c>
      <c r="AR69" s="24"/>
      <c r="AS69">
        <f t="shared" si="35"/>
        <v>2014</v>
      </c>
      <c r="AT69" s="1" t="b">
        <f t="shared" si="36"/>
        <v>1</v>
      </c>
      <c r="AV69" s="1" t="b">
        <f t="shared" si="55"/>
        <v>1</v>
      </c>
      <c r="AW69" s="1" t="b">
        <f t="shared" si="56"/>
        <v>1</v>
      </c>
      <c r="AY69" s="1" t="b">
        <f t="shared" si="44"/>
        <v>0</v>
      </c>
      <c r="AZ69" s="1" t="b">
        <f t="shared" si="38"/>
        <v>0</v>
      </c>
      <c r="BA69" s="1" t="b">
        <f t="shared" si="39"/>
        <v>1</v>
      </c>
      <c r="BC69">
        <f t="shared" si="40"/>
        <v>2014</v>
      </c>
      <c r="BD69" s="2">
        <f t="shared" si="57"/>
        <v>105533.4024983764</v>
      </c>
      <c r="BE69" s="2"/>
      <c r="BF69" s="2">
        <f t="shared" si="48"/>
        <v>79150.051873782286</v>
      </c>
      <c r="BG69" s="2">
        <f t="shared" si="48"/>
        <v>52766.701249188198</v>
      </c>
      <c r="BH69" s="2"/>
      <c r="BI69" s="2">
        <f t="shared" si="58"/>
        <v>79150.051873782286</v>
      </c>
      <c r="BJ69" s="2">
        <f t="shared" si="49"/>
        <v>211066.80499675279</v>
      </c>
      <c r="BK69" s="2">
        <f t="shared" si="41"/>
        <v>527667.01249188196</v>
      </c>
      <c r="BL69" s="2">
        <f t="shared" si="42"/>
        <v>0</v>
      </c>
      <c r="BM69" s="20"/>
    </row>
    <row r="70" spans="1:65" x14ac:dyDescent="0.2">
      <c r="A70">
        <f t="shared" si="6"/>
        <v>2015</v>
      </c>
      <c r="B70" s="2">
        <f t="shared" si="46"/>
        <v>106852.5700296061</v>
      </c>
      <c r="C70" s="2"/>
      <c r="D70" s="2">
        <f t="shared" si="50"/>
        <v>77994.461116425067</v>
      </c>
      <c r="E70" s="2">
        <f t="shared" si="51"/>
        <v>50772.119941968878</v>
      </c>
      <c r="F70" s="2"/>
      <c r="G70" s="2">
        <f t="shared" si="45"/>
        <v>75691.194606898003</v>
      </c>
      <c r="H70" s="2">
        <f t="shared" si="15"/>
        <v>211700.00541174304</v>
      </c>
      <c r="I70" s="2">
        <f t="shared" ref="I70" si="66">SUM(B70:H70)</f>
        <v>523010.35110664112</v>
      </c>
      <c r="J70" s="2">
        <f t="shared" si="16"/>
        <v>-13588.110522863921</v>
      </c>
      <c r="K70" s="83">
        <f t="shared" si="17"/>
        <v>-2.5322678864192955E-2</v>
      </c>
      <c r="L70" s="7">
        <f t="shared" si="18"/>
        <v>0.97467732113580707</v>
      </c>
      <c r="N70">
        <f t="shared" si="19"/>
        <v>2015</v>
      </c>
      <c r="O70" s="2">
        <f t="shared" si="20"/>
        <v>8970.7475138285863</v>
      </c>
      <c r="P70" s="2"/>
      <c r="R70">
        <f t="shared" si="21"/>
        <v>2015</v>
      </c>
      <c r="S70" s="2">
        <f t="shared" si="52"/>
        <v>105058.42052684037</v>
      </c>
      <c r="T70" s="2"/>
      <c r="U70" s="2">
        <f t="shared" si="53"/>
        <v>76200.311613659345</v>
      </c>
      <c r="V70" s="2">
        <f t="shared" si="53"/>
        <v>48977.970439203164</v>
      </c>
      <c r="W70" s="2"/>
      <c r="X70" s="2">
        <f t="shared" si="54"/>
        <v>73897.045104132281</v>
      </c>
      <c r="Y70" s="2">
        <f t="shared" si="54"/>
        <v>209905.85590897733</v>
      </c>
      <c r="Z70" s="2">
        <f t="shared" si="24"/>
        <v>514039.60359281249</v>
      </c>
      <c r="AA70" s="2">
        <f t="shared" si="60"/>
        <v>-13627.408899069473</v>
      </c>
      <c r="AB70" s="83">
        <f t="shared" si="61"/>
        <v>-2.5825773786226833E-2</v>
      </c>
      <c r="AC70" s="7">
        <f t="shared" si="27"/>
        <v>0.97417422621377314</v>
      </c>
      <c r="AD70" s="2">
        <f t="shared" si="28"/>
        <v>0</v>
      </c>
      <c r="AE70" s="2"/>
      <c r="AG70">
        <f t="shared" si="29"/>
        <v>2015</v>
      </c>
      <c r="AH70" s="6">
        <f t="shared" si="59"/>
        <v>0.20437806696711364</v>
      </c>
      <c r="AI70" s="7"/>
      <c r="AJ70" s="6">
        <f t="shared" ref="AJ70:AK70" si="67">U70/$Z70</f>
        <v>0.14823821176630603</v>
      </c>
      <c r="AK70" s="6">
        <f t="shared" si="67"/>
        <v>9.5280538886261007E-2</v>
      </c>
      <c r="AL70" s="7"/>
      <c r="AM70" s="6">
        <f t="shared" si="62"/>
        <v>0.14375749375658717</v>
      </c>
      <c r="AN70" s="6">
        <f t="shared" si="31"/>
        <v>0.40834568862373216</v>
      </c>
      <c r="AO70" s="6">
        <f t="shared" si="64"/>
        <v>1</v>
      </c>
      <c r="AP70" s="7">
        <f t="shared" si="65"/>
        <v>0.59165431137626789</v>
      </c>
      <c r="AQ70" s="7">
        <f t="shared" si="34"/>
        <v>0</v>
      </c>
      <c r="AR70" s="24"/>
      <c r="AS70">
        <f t="shared" si="35"/>
        <v>2015</v>
      </c>
      <c r="AT70" s="1" t="b">
        <f t="shared" si="36"/>
        <v>1</v>
      </c>
      <c r="AV70" s="1" t="b">
        <f t="shared" si="55"/>
        <v>0</v>
      </c>
      <c r="AW70" s="1" t="b">
        <f t="shared" si="56"/>
        <v>1</v>
      </c>
      <c r="AY70" s="1" t="b">
        <f t="shared" si="44"/>
        <v>0</v>
      </c>
      <c r="AZ70" s="1" t="b">
        <f t="shared" si="38"/>
        <v>0</v>
      </c>
      <c r="BA70" s="1" t="b">
        <f t="shared" si="39"/>
        <v>1</v>
      </c>
      <c r="BC70">
        <f t="shared" si="40"/>
        <v>2015</v>
      </c>
      <c r="BD70" s="2">
        <f t="shared" si="57"/>
        <v>102807.9207185625</v>
      </c>
      <c r="BE70" s="2"/>
      <c r="BF70" s="2">
        <f t="shared" ref="BF70:BG71" si="68">$BK70*BF$42</f>
        <v>77105.940538921874</v>
      </c>
      <c r="BG70" s="2">
        <f t="shared" si="68"/>
        <v>51403.960359281249</v>
      </c>
      <c r="BH70" s="2"/>
      <c r="BI70" s="2">
        <f t="shared" si="58"/>
        <v>77105.940538921874</v>
      </c>
      <c r="BJ70" s="2">
        <f t="shared" si="49"/>
        <v>205615.841437125</v>
      </c>
      <c r="BK70" s="2">
        <f t="shared" si="41"/>
        <v>514039.60359281249</v>
      </c>
      <c r="BL70" s="2">
        <f t="shared" si="42"/>
        <v>0</v>
      </c>
      <c r="BM70" s="20"/>
    </row>
    <row r="71" spans="1:65" x14ac:dyDescent="0.2">
      <c r="A71">
        <f t="shared" si="6"/>
        <v>2016</v>
      </c>
      <c r="B71" s="2">
        <f t="shared" si="46"/>
        <v>114959.8169474966</v>
      </c>
      <c r="C71" s="2"/>
      <c r="D71" s="2">
        <f t="shared" si="50"/>
        <v>85641.568156580528</v>
      </c>
      <c r="E71" s="2">
        <f t="shared" si="51"/>
        <v>60744.059956562647</v>
      </c>
      <c r="F71" s="2"/>
      <c r="G71" s="2">
        <f t="shared" si="45"/>
        <v>80691.366773981747</v>
      </c>
      <c r="H71" s="2">
        <f t="shared" si="15"/>
        <v>210756.2374730531</v>
      </c>
      <c r="I71" s="2">
        <f t="shared" ref="I71" si="69">SUM(B71:H71)</f>
        <v>552793.04930767464</v>
      </c>
      <c r="J71" s="2">
        <f t="shared" ref="J71" si="70">I71-I70</f>
        <v>29782.69820103352</v>
      </c>
      <c r="K71" s="83">
        <f t="shared" ref="K71" si="71">(J71/I70)</f>
        <v>5.6944758622876408E-2</v>
      </c>
      <c r="L71" s="7">
        <f t="shared" ref="L71" si="72">K71+1</f>
        <v>1.0569447586228764</v>
      </c>
      <c r="N71">
        <f t="shared" ref="N71" si="73">A71</f>
        <v>2016</v>
      </c>
      <c r="O71" s="2">
        <f t="shared" si="20"/>
        <v>9123.2502215636723</v>
      </c>
      <c r="P71" s="2"/>
      <c r="R71">
        <f t="shared" ref="R71" si="74">A71</f>
        <v>2016</v>
      </c>
      <c r="S71" s="2">
        <f t="shared" ref="S71" si="75">B71-($O71/5)</f>
        <v>113135.16690318387</v>
      </c>
      <c r="T71" s="2"/>
      <c r="U71" s="2">
        <f t="shared" ref="U71" si="76">D71-($O71/5)</f>
        <v>83816.918112267798</v>
      </c>
      <c r="V71" s="2">
        <f t="shared" ref="V71" si="77">E71-($O71/5)</f>
        <v>58919.40991224991</v>
      </c>
      <c r="W71" s="2"/>
      <c r="X71" s="2">
        <f t="shared" ref="X71" si="78">G71-($O71/5)</f>
        <v>78866.716729669017</v>
      </c>
      <c r="Y71" s="2">
        <f t="shared" ref="Y71" si="79">H71-($O71/5)</f>
        <v>208931.58742874037</v>
      </c>
      <c r="Z71" s="2">
        <f t="shared" ref="Z71" si="80">SUM(S71:Y71)</f>
        <v>543669.7990861109</v>
      </c>
      <c r="AA71" s="2">
        <f t="shared" ref="AA71" si="81">Z71-Z70</f>
        <v>29630.195493298408</v>
      </c>
      <c r="AB71" s="83">
        <f t="shared" ref="AB71" si="82">(AA71/Z70)</f>
        <v>5.7641853441256351E-2</v>
      </c>
      <c r="AC71" s="7">
        <f t="shared" ref="AC71" si="83">AB71+1</f>
        <v>1.0576418534412564</v>
      </c>
      <c r="AD71" s="2">
        <f t="shared" ref="AD71" si="84">Z71-(I71-O71)</f>
        <v>0</v>
      </c>
      <c r="AE71" s="2"/>
      <c r="AG71">
        <f t="shared" ref="AG71" si="85">A71</f>
        <v>2016</v>
      </c>
      <c r="AH71" s="6">
        <f t="shared" ref="AH71" si="86">S71/$Z71</f>
        <v>0.20809536798505263</v>
      </c>
      <c r="AI71" s="7"/>
      <c r="AJ71" s="6">
        <f t="shared" ref="AJ71" si="87">U71/$Z71</f>
        <v>0.15416879556885629</v>
      </c>
      <c r="AK71" s="6">
        <f t="shared" ref="AK71" si="88">V71/$Z71</f>
        <v>0.10837352012433152</v>
      </c>
      <c r="AL71" s="7"/>
      <c r="AM71" s="6">
        <f t="shared" ref="AM71" si="89">X71/$Z71</f>
        <v>0.14506363395987987</v>
      </c>
      <c r="AN71" s="6">
        <f t="shared" ref="AN71" si="90">Y71/$Z71</f>
        <v>0.38429868236187986</v>
      </c>
      <c r="AO71" s="6">
        <f t="shared" ref="AO71" si="91">SUM(AH71:AN71)</f>
        <v>1.0000000000000002</v>
      </c>
      <c r="AP71" s="7">
        <f t="shared" ref="AP71" si="92">SUM(AH71:AM71)</f>
        <v>0.6157013176381203</v>
      </c>
      <c r="AQ71" s="7">
        <f t="shared" ref="AQ71" si="93">AO71-(AP71+AN71)</f>
        <v>0</v>
      </c>
      <c r="AR71" s="24"/>
      <c r="AS71">
        <f t="shared" ref="AS71" si="94">AG71</f>
        <v>2016</v>
      </c>
      <c r="AT71" s="1" t="b">
        <f t="shared" ref="AT71" si="95">AND((S71/$Z71)&gt;0.15,(S71/$Z71)&lt;0.25)</f>
        <v>1</v>
      </c>
      <c r="AV71" s="1" t="b">
        <f t="shared" ref="AV71" si="96">AND((U71/$Z71)&gt;0.15,(U71/$Z71)&lt;0.25)</f>
        <v>1</v>
      </c>
      <c r="AW71" s="1" t="b">
        <f t="shared" ref="AW71" si="97">AND((V71/$Z71)&gt;0.05,(V71/$Z71)&lt;0.15)</f>
        <v>1</v>
      </c>
      <c r="AY71" s="1" t="b">
        <f t="shared" ref="AY71" si="98">AND((X71/$Z71)&gt;0.15,(X71/$Z71)&lt;0.25)</f>
        <v>0</v>
      </c>
      <c r="AZ71" s="1" t="b">
        <f t="shared" ref="AZ71" si="99">AND((Y71/$Z71)&gt;0.25,(Y71/$Z71)&lt;0.35)</f>
        <v>0</v>
      </c>
      <c r="BA71" s="1" t="b">
        <f t="shared" ref="BA71" si="100">AND((Z71/$Z71)&gt;0.999,(Z71/$Z71)&lt;1.01)</f>
        <v>1</v>
      </c>
      <c r="BC71">
        <f t="shared" ref="BC71" si="101">AS71</f>
        <v>2016</v>
      </c>
      <c r="BD71" s="2">
        <f t="shared" si="57"/>
        <v>108733.95981722219</v>
      </c>
      <c r="BE71" s="2"/>
      <c r="BF71" s="2">
        <f t="shared" si="68"/>
        <v>81550.469862916638</v>
      </c>
      <c r="BG71" s="2">
        <f t="shared" si="68"/>
        <v>54366.979908611094</v>
      </c>
      <c r="BH71" s="2"/>
      <c r="BI71" s="2">
        <f t="shared" si="58"/>
        <v>81550.469862916638</v>
      </c>
      <c r="BJ71" s="2">
        <f t="shared" si="49"/>
        <v>217467.91963444438</v>
      </c>
      <c r="BK71" s="2">
        <f t="shared" ref="BK71" si="102">Z71</f>
        <v>543669.7990861109</v>
      </c>
      <c r="BL71" s="2">
        <f t="shared" ref="BL71" si="103">SUM(BD71:BJ71)-Z71</f>
        <v>0</v>
      </c>
      <c r="BM71" s="20"/>
    </row>
    <row r="72" spans="1:65" x14ac:dyDescent="0.2">
      <c r="A72">
        <f t="shared" si="6"/>
        <v>2017</v>
      </c>
      <c r="B72" s="2">
        <f t="shared" si="46"/>
        <v>132296.60890961424</v>
      </c>
      <c r="C72" s="2"/>
      <c r="D72" s="2">
        <f t="shared" si="50"/>
        <v>97534.361956048291</v>
      </c>
      <c r="E72" s="2">
        <f t="shared" si="51"/>
        <v>63120.063673897479</v>
      </c>
      <c r="F72" s="2"/>
      <c r="G72" s="2">
        <f t="shared" si="45"/>
        <v>103895.2986053558</v>
      </c>
      <c r="H72" s="2">
        <f t="shared" si="15"/>
        <v>224992.30965379614</v>
      </c>
      <c r="I72" s="2">
        <f>SUM(B72:H72)</f>
        <v>621838.64279871201</v>
      </c>
      <c r="J72" s="2">
        <f>I72-I71</f>
        <v>69045.593491037376</v>
      </c>
      <c r="K72" s="83">
        <f>(J72/I71)</f>
        <v>0.12490315060493433</v>
      </c>
      <c r="L72" s="7">
        <f>K72+1</f>
        <v>1.1249031506049343</v>
      </c>
      <c r="N72">
        <f>A72</f>
        <v>2017</v>
      </c>
      <c r="O72" s="2">
        <f t="shared" si="20"/>
        <v>9326.6987015045415</v>
      </c>
      <c r="P72" s="2"/>
      <c r="R72">
        <f>A72</f>
        <v>2017</v>
      </c>
      <c r="S72" s="2">
        <f>B72-($O72/5)</f>
        <v>130431.26916931332</v>
      </c>
      <c r="T72" s="2"/>
      <c r="U72" s="2">
        <f t="shared" ref="U72:V73" si="104">D72-($O72/5)</f>
        <v>95669.022215747376</v>
      </c>
      <c r="V72" s="2">
        <f t="shared" si="104"/>
        <v>61254.723933596571</v>
      </c>
      <c r="W72" s="2"/>
      <c r="X72" s="2">
        <f t="shared" ref="X72:Y73" si="105">G72-($O72/5)</f>
        <v>102029.95886505488</v>
      </c>
      <c r="Y72" s="2">
        <f t="shared" si="105"/>
        <v>223126.96991349524</v>
      </c>
      <c r="Z72" s="2">
        <f>SUM(S72:Y72)</f>
        <v>612511.94409720739</v>
      </c>
      <c r="AA72" s="2">
        <f>Z72-Z71</f>
        <v>68842.145011096494</v>
      </c>
      <c r="AB72" s="83">
        <f>(AA72/Z71)</f>
        <v>0.12662492035941234</v>
      </c>
      <c r="AC72" s="7">
        <f>AB72+1</f>
        <v>1.1266249203594123</v>
      </c>
      <c r="AD72" s="2">
        <f>Z72-(I72-O72)</f>
        <v>0</v>
      </c>
      <c r="AE72" s="2"/>
      <c r="AG72">
        <f>A72</f>
        <v>2017</v>
      </c>
      <c r="AH72" s="6">
        <f>S72/$Z72</f>
        <v>0.21294485834322524</v>
      </c>
      <c r="AI72" s="7"/>
      <c r="AJ72" s="6">
        <f t="shared" ref="AJ72:AK73" si="106">U72/$Z72</f>
        <v>0.15619127616646841</v>
      </c>
      <c r="AK72" s="6">
        <f t="shared" si="106"/>
        <v>0.10000576237559095</v>
      </c>
      <c r="AL72" s="7"/>
      <c r="AM72" s="6">
        <f t="shared" ref="AM72:AN73" si="107">X72/$Z72</f>
        <v>0.16657627634582492</v>
      </c>
      <c r="AN72" s="6">
        <f t="shared" si="107"/>
        <v>0.36428182676889048</v>
      </c>
      <c r="AO72" s="6">
        <f>SUM(AH72:AN72)</f>
        <v>1</v>
      </c>
      <c r="AP72" s="7">
        <f>SUM(AH72:AM72)</f>
        <v>0.63571817323110946</v>
      </c>
      <c r="AQ72" s="7">
        <f>AO72-(AP72+AN72)</f>
        <v>0</v>
      </c>
      <c r="AR72" s="24"/>
      <c r="AS72">
        <f>AG72</f>
        <v>2017</v>
      </c>
      <c r="AT72" s="1" t="b">
        <f>AND((S72/$Z72)&gt;0.15,(S72/$Z72)&lt;0.25)</f>
        <v>1</v>
      </c>
      <c r="AV72" s="1" t="b">
        <f>AND((U72/$Z72)&gt;0.15,(U72/$Z72)&lt;0.25)</f>
        <v>1</v>
      </c>
      <c r="AW72" s="1" t="b">
        <f>AND((V72/$Z72)&gt;0.05,(V72/$Z72)&lt;0.15)</f>
        <v>1</v>
      </c>
      <c r="AY72" s="1" t="b">
        <f>AND((X72/$Z72)&gt;0.15,(X72/$Z72)&lt;0.25)</f>
        <v>1</v>
      </c>
      <c r="AZ72" s="1" t="b">
        <f>AND((Y72/$Z72)&gt;0.25,(Y72/$Z72)&lt;0.35)</f>
        <v>0</v>
      </c>
      <c r="BA72" s="1" t="b">
        <f>AND((Z72/$Z72)&gt;0.999,(Z72/$Z72)&lt;1.01)</f>
        <v>1</v>
      </c>
      <c r="BC72">
        <f>AS72</f>
        <v>2017</v>
      </c>
      <c r="BD72" s="2">
        <f>$BK72*BD$42</f>
        <v>122502.38881944149</v>
      </c>
      <c r="BE72" s="2"/>
      <c r="BF72" s="2">
        <f t="shared" ref="BF72:BG75" si="108">$BK72*BF$42</f>
        <v>91876.791614581103</v>
      </c>
      <c r="BG72" s="2">
        <f t="shared" si="108"/>
        <v>61251.194409720745</v>
      </c>
      <c r="BH72" s="2"/>
      <c r="BI72" s="2">
        <f t="shared" ref="BI72:BJ75" si="109">$BK72*BI$42</f>
        <v>91876.791614581103</v>
      </c>
      <c r="BJ72" s="2">
        <f t="shared" si="109"/>
        <v>245004.77763888298</v>
      </c>
      <c r="BK72" s="2">
        <f>Z72</f>
        <v>612511.94409720739</v>
      </c>
      <c r="BL72" s="2">
        <f>SUM(BD72:BJ72)-Z72</f>
        <v>0</v>
      </c>
      <c r="BM72" s="20"/>
    </row>
    <row r="73" spans="1:65" x14ac:dyDescent="0.2">
      <c r="A73">
        <f t="shared" si="6"/>
        <v>2018</v>
      </c>
      <c r="B73" s="2">
        <f t="shared" si="46"/>
        <v>116989.78132256662</v>
      </c>
      <c r="C73" s="2"/>
      <c r="D73" s="2">
        <f t="shared" si="50"/>
        <v>83332.249994425059</v>
      </c>
      <c r="E73" s="2">
        <f t="shared" si="51"/>
        <v>55493.582135206998</v>
      </c>
      <c r="F73" s="2"/>
      <c r="G73" s="2">
        <f t="shared" si="45"/>
        <v>78554.656830466847</v>
      </c>
      <c r="H73" s="2">
        <f t="shared" si="15"/>
        <v>244759.7728612441</v>
      </c>
      <c r="I73" s="2">
        <f>SUM(B73:H73)</f>
        <v>579130.04314390966</v>
      </c>
      <c r="J73" s="2">
        <f>I73-I72</f>
        <v>-42708.599654802354</v>
      </c>
      <c r="K73" s="83">
        <f>(J73/I72)</f>
        <v>-6.8681160538019259E-2</v>
      </c>
      <c r="L73" s="7">
        <f>K73+1</f>
        <v>0.93131883946198069</v>
      </c>
      <c r="N73">
        <f>A73</f>
        <v>2018</v>
      </c>
      <c r="O73" s="2">
        <f t="shared" si="20"/>
        <v>9532.7138277670056</v>
      </c>
      <c r="P73" s="2"/>
      <c r="R73">
        <f>A73</f>
        <v>2018</v>
      </c>
      <c r="S73" s="2">
        <f>B73-($O73/5)</f>
        <v>115083.23855701322</v>
      </c>
      <c r="T73" s="2"/>
      <c r="U73" s="2">
        <f t="shared" si="104"/>
        <v>81425.707228871659</v>
      </c>
      <c r="V73" s="2">
        <f t="shared" si="104"/>
        <v>53587.039369653598</v>
      </c>
      <c r="W73" s="2"/>
      <c r="X73" s="2">
        <f t="shared" si="105"/>
        <v>76648.114064913447</v>
      </c>
      <c r="Y73" s="2">
        <f t="shared" si="105"/>
        <v>242853.2300956907</v>
      </c>
      <c r="Z73" s="2">
        <f>SUM(S73:Y73)</f>
        <v>569597.3293161426</v>
      </c>
      <c r="AA73" s="2">
        <f>Z73-Z72</f>
        <v>-42914.614781064796</v>
      </c>
      <c r="AB73" s="83">
        <f>(AA73/Z72)</f>
        <v>-7.0063310919295518E-2</v>
      </c>
      <c r="AC73" s="7">
        <f>AB73+1</f>
        <v>0.92993668908070448</v>
      </c>
      <c r="AD73" s="2">
        <f>Z73-(I73-O73)</f>
        <v>0</v>
      </c>
      <c r="AE73" s="2"/>
      <c r="AG73">
        <f>A73</f>
        <v>2018</v>
      </c>
      <c r="AH73" s="6">
        <f>S73/$Z73</f>
        <v>0.2020431498426826</v>
      </c>
      <c r="AI73" s="7"/>
      <c r="AJ73" s="6">
        <f t="shared" si="106"/>
        <v>0.14295310570825745</v>
      </c>
      <c r="AK73" s="6">
        <f t="shared" si="106"/>
        <v>9.407881078724524E-2</v>
      </c>
      <c r="AL73" s="7"/>
      <c r="AM73" s="6">
        <f t="shared" si="107"/>
        <v>0.13456543793303424</v>
      </c>
      <c r="AN73" s="6">
        <f t="shared" si="107"/>
        <v>0.42635949572878051</v>
      </c>
      <c r="AO73" s="6">
        <f>SUM(AH73:AN73)</f>
        <v>1</v>
      </c>
      <c r="AP73" s="7">
        <f>SUM(AH73:AM73)</f>
        <v>0.57364050427121949</v>
      </c>
      <c r="AQ73" s="7">
        <f>AO73-(AP73+AN73)</f>
        <v>0</v>
      </c>
      <c r="AR73" s="24"/>
      <c r="AS73">
        <f>AG73</f>
        <v>2018</v>
      </c>
      <c r="AT73" s="1" t="b">
        <f>AND((S73/$Z73)&gt;0.15,(S73/$Z73)&lt;0.25)</f>
        <v>1</v>
      </c>
      <c r="AV73" s="1" t="b">
        <f>AND((U73/$Z73)&gt;0.15,(U73/$Z73)&lt;0.25)</f>
        <v>0</v>
      </c>
      <c r="AW73" s="1" t="b">
        <f>AND((V73/$Z73)&gt;0.05,(V73/$Z73)&lt;0.15)</f>
        <v>1</v>
      </c>
      <c r="AY73" s="1" t="b">
        <f>AND((X73/$Z73)&gt;0.15,(X73/$Z73)&lt;0.25)</f>
        <v>0</v>
      </c>
      <c r="AZ73" s="1" t="b">
        <f>AND((Y73/$Z73)&gt;0.25,(Y73/$Z73)&lt;0.35)</f>
        <v>0</v>
      </c>
      <c r="BA73" s="1" t="b">
        <f>AND((Z73/$Z73)&gt;0.999,(Z73/$Z73)&lt;1.01)</f>
        <v>1</v>
      </c>
      <c r="BC73">
        <f>AS73</f>
        <v>2018</v>
      </c>
      <c r="BD73" s="2">
        <f>$BK73*BD$42</f>
        <v>113919.46586322853</v>
      </c>
      <c r="BE73" s="2"/>
      <c r="BF73" s="2">
        <f t="shared" si="108"/>
        <v>85439.599397421392</v>
      </c>
      <c r="BG73" s="2">
        <f t="shared" si="108"/>
        <v>56959.732931614264</v>
      </c>
      <c r="BH73" s="2"/>
      <c r="BI73" s="2">
        <f t="shared" si="109"/>
        <v>85439.599397421392</v>
      </c>
      <c r="BJ73" s="2">
        <f t="shared" si="109"/>
        <v>227838.93172645706</v>
      </c>
      <c r="BK73" s="2">
        <f>Z73</f>
        <v>569597.3293161426</v>
      </c>
      <c r="BL73" s="2">
        <f>SUM(BD73:BJ73)-Z73</f>
        <v>0</v>
      </c>
      <c r="BM73" s="20"/>
    </row>
    <row r="74" spans="1:65" x14ac:dyDescent="0.2">
      <c r="A74">
        <f t="shared" ref="A74:A75" si="110">A35</f>
        <v>2019</v>
      </c>
      <c r="B74" s="2">
        <f t="shared" ref="B74:B75" si="111">BD73*(1+(B35/100))</f>
        <v>149753.97304516568</v>
      </c>
      <c r="C74" s="2"/>
      <c r="D74" s="2">
        <f t="shared" ref="D74:E74" si="112">BF73*(1+(D35/100))</f>
        <v>111952.87412403162</v>
      </c>
      <c r="E74" s="2">
        <f t="shared" si="112"/>
        <v>72548.130881940859</v>
      </c>
      <c r="F74" s="2"/>
      <c r="G74" s="2">
        <f t="shared" ref="G74:H74" si="113">BI73*(1+(G35/100))</f>
        <v>103815.94843581878</v>
      </c>
      <c r="H74" s="2">
        <f t="shared" si="113"/>
        <v>247692.81623710052</v>
      </c>
      <c r="I74" s="2">
        <f t="shared" ref="I74:I75" si="114">SUM(B74:H74)</f>
        <v>685763.7427240574</v>
      </c>
      <c r="J74" s="2">
        <f t="shared" ref="J74:J75" si="115">I74-I73</f>
        <v>106633.69958014775</v>
      </c>
      <c r="K74" s="83">
        <f t="shared" ref="K74:K75" si="116">(J74/I73)</f>
        <v>0.18412738355148678</v>
      </c>
      <c r="L74" s="7">
        <f t="shared" ref="L74:L75" si="117">K74+1</f>
        <v>1.1841273835514867</v>
      </c>
      <c r="N74">
        <f t="shared" ref="N74:N75" si="118">A74</f>
        <v>2019</v>
      </c>
      <c r="O74" s="2">
        <f t="shared" ref="O74:O75" si="119">O73*(1+O35)</f>
        <v>9750.6600396149061</v>
      </c>
      <c r="P74" s="2"/>
      <c r="R74">
        <f t="shared" ref="R74:R75" si="120">A74</f>
        <v>2019</v>
      </c>
      <c r="S74" s="2">
        <f t="shared" ref="S74:S75" si="121">B74-($O74/5)</f>
        <v>147803.8410372427</v>
      </c>
      <c r="T74" s="2"/>
      <c r="U74" s="2">
        <f t="shared" ref="U74:U75" si="122">D74-($O74/5)</f>
        <v>110002.74211610864</v>
      </c>
      <c r="V74" s="2">
        <f t="shared" ref="V74:V75" si="123">E74-($O74/5)</f>
        <v>70597.998874017881</v>
      </c>
      <c r="W74" s="2"/>
      <c r="X74" s="2">
        <f t="shared" ref="X74:X75" si="124">G74-($O74/5)</f>
        <v>101865.8164278958</v>
      </c>
      <c r="Y74" s="2">
        <f t="shared" ref="Y74:Y75" si="125">H74-($O74/5)</f>
        <v>245742.68422917754</v>
      </c>
      <c r="Z74" s="2">
        <f t="shared" ref="Z74:Z75" si="126">SUM(S74:Y74)</f>
        <v>676013.08268444252</v>
      </c>
      <c r="AA74" s="2">
        <f t="shared" ref="AA74:AA75" si="127">Z74-Z73</f>
        <v>106415.75336829992</v>
      </c>
      <c r="AB74" s="83">
        <f t="shared" ref="AB74:AB75" si="128">(AA74/Z73)</f>
        <v>0.18682628567809906</v>
      </c>
      <c r="AC74" s="7">
        <f t="shared" ref="AC74:AC75" si="129">AB74+1</f>
        <v>1.1868262856780991</v>
      </c>
      <c r="AD74" s="2">
        <f t="shared" ref="AD74:AD75" si="130">Z74-(I74-O74)</f>
        <v>0</v>
      </c>
      <c r="AE74" s="2"/>
      <c r="AG74">
        <f t="shared" ref="AG74:AG75" si="131">A74</f>
        <v>2019</v>
      </c>
      <c r="AH74" s="6">
        <f t="shared" ref="AH74:AH75" si="132">S74/$Z74</f>
        <v>0.21864050389426612</v>
      </c>
      <c r="AI74" s="7"/>
      <c r="AJ74" s="6">
        <f t="shared" ref="AJ74:AJ75" si="133">U74/$Z74</f>
        <v>0.16272280068795211</v>
      </c>
      <c r="AK74" s="6">
        <f t="shared" ref="AK74:AK75" si="134">V74/$Z74</f>
        <v>0.1044328884785392</v>
      </c>
      <c r="AL74" s="7"/>
      <c r="AM74" s="6">
        <f t="shared" ref="AM74:AM75" si="135">X74/$Z74</f>
        <v>0.15068616131419743</v>
      </c>
      <c r="AN74" s="6">
        <f t="shared" ref="AN74:AN75" si="136">Y74/$Z74</f>
        <v>0.36351764562504518</v>
      </c>
      <c r="AO74" s="6">
        <f t="shared" ref="AO74:AO75" si="137">SUM(AH74:AN74)</f>
        <v>1</v>
      </c>
      <c r="AP74" s="7">
        <f t="shared" ref="AP74:AP75" si="138">SUM(AH74:AM74)</f>
        <v>0.63648235437495493</v>
      </c>
      <c r="AQ74" s="7">
        <f t="shared" ref="AQ74:AQ75" si="139">AO74-(AP74+AN74)</f>
        <v>0</v>
      </c>
      <c r="AR74" s="24"/>
      <c r="AS74">
        <f t="shared" ref="AS74:AS75" si="140">AG74</f>
        <v>2019</v>
      </c>
      <c r="AT74" s="1" t="b">
        <f t="shared" ref="AT74:AT75" si="141">AND((S74/$Z74)&gt;0.15,(S74/$Z74)&lt;0.25)</f>
        <v>1</v>
      </c>
      <c r="AV74" s="1" t="b">
        <f t="shared" ref="AV74:AV75" si="142">AND((U74/$Z74)&gt;0.15,(U74/$Z74)&lt;0.25)</f>
        <v>1</v>
      </c>
      <c r="AW74" s="1" t="b">
        <f t="shared" ref="AW74:AW75" si="143">AND((V74/$Z74)&gt;0.05,(V74/$Z74)&lt;0.15)</f>
        <v>1</v>
      </c>
      <c r="AY74" s="1" t="b">
        <f t="shared" ref="AY74:AY75" si="144">AND((X74/$Z74)&gt;0.15,(X74/$Z74)&lt;0.25)</f>
        <v>1</v>
      </c>
      <c r="AZ74" s="1" t="b">
        <f t="shared" ref="AZ74:AZ75" si="145">AND((Y74/$Z74)&gt;0.25,(Y74/$Z74)&lt;0.35)</f>
        <v>0</v>
      </c>
      <c r="BA74" s="1" t="b">
        <f t="shared" ref="BA74:BA75" si="146">AND((Z74/$Z74)&gt;0.999,(Z74/$Z74)&lt;1.01)</f>
        <v>1</v>
      </c>
      <c r="BC74">
        <f t="shared" ref="BC74:BC75" si="147">AS74</f>
        <v>2019</v>
      </c>
      <c r="BD74" s="2">
        <f t="shared" ref="BD74:BD75" si="148">$BK74*BD$42</f>
        <v>135202.6165368885</v>
      </c>
      <c r="BE74" s="2"/>
      <c r="BF74" s="2">
        <f t="shared" si="108"/>
        <v>101401.96240266638</v>
      </c>
      <c r="BG74" s="2">
        <f t="shared" si="108"/>
        <v>67601.308268444249</v>
      </c>
      <c r="BH74" s="2"/>
      <c r="BI74" s="2">
        <f t="shared" si="109"/>
        <v>101401.96240266638</v>
      </c>
      <c r="BJ74" s="2">
        <f t="shared" si="109"/>
        <v>270405.233073777</v>
      </c>
      <c r="BK74" s="2">
        <f t="shared" ref="BK74:BK75" si="149">Z74</f>
        <v>676013.08268444252</v>
      </c>
      <c r="BL74" s="2">
        <f t="shared" ref="BL74:BL75" si="150">SUM(BD74:BJ74)-Z74</f>
        <v>0</v>
      </c>
      <c r="BM74" s="20"/>
    </row>
    <row r="75" spans="1:65" x14ac:dyDescent="0.2">
      <c r="A75">
        <f t="shared" si="110"/>
        <v>2020</v>
      </c>
      <c r="B75" s="2">
        <f t="shared" si="111"/>
        <v>160039.3371947149</v>
      </c>
      <c r="C75" s="2"/>
      <c r="D75" s="2">
        <f t="shared" ref="D75:E75" si="151">BF74*(1+(D36/100))</f>
        <v>119897.68034491272</v>
      </c>
      <c r="E75" s="2">
        <f t="shared" si="151"/>
        <v>80519.918278543948</v>
      </c>
      <c r="F75" s="2"/>
      <c r="G75" s="2">
        <f t="shared" ref="G75:H75" si="152">BI74*(1+(G36/100))</f>
        <v>112840.10376168715</v>
      </c>
      <c r="H75" s="2">
        <f t="shared" si="152"/>
        <v>291280.51706707256</v>
      </c>
      <c r="I75" s="2">
        <f t="shared" si="114"/>
        <v>764577.55664693133</v>
      </c>
      <c r="J75" s="2">
        <f t="shared" si="115"/>
        <v>78813.813922873931</v>
      </c>
      <c r="K75" s="83">
        <f t="shared" si="116"/>
        <v>0.11492852277345844</v>
      </c>
      <c r="L75" s="7">
        <f t="shared" si="117"/>
        <v>1.1149285227734584</v>
      </c>
      <c r="N75">
        <f t="shared" si="118"/>
        <v>2020</v>
      </c>
      <c r="O75" s="2">
        <f t="shared" si="119"/>
        <v>9861.7013599672828</v>
      </c>
      <c r="P75" s="2"/>
      <c r="R75">
        <f t="shared" si="120"/>
        <v>2020</v>
      </c>
      <c r="S75" s="2">
        <f t="shared" si="121"/>
        <v>158066.99692272145</v>
      </c>
      <c r="T75" s="2"/>
      <c r="U75" s="2">
        <f t="shared" si="122"/>
        <v>117925.34007291927</v>
      </c>
      <c r="V75" s="2">
        <f t="shared" si="123"/>
        <v>78547.578006550495</v>
      </c>
      <c r="W75" s="2"/>
      <c r="X75" s="2">
        <f t="shared" si="124"/>
        <v>110867.76348969369</v>
      </c>
      <c r="Y75" s="2">
        <f t="shared" si="125"/>
        <v>289308.17679507908</v>
      </c>
      <c r="Z75" s="2">
        <f t="shared" si="126"/>
        <v>754715.85528696398</v>
      </c>
      <c r="AA75" s="2">
        <f t="shared" si="127"/>
        <v>78702.772602521465</v>
      </c>
      <c r="AB75" s="83">
        <f t="shared" si="128"/>
        <v>0.11642196670217296</v>
      </c>
      <c r="AC75" s="7">
        <f t="shared" si="129"/>
        <v>1.1164219667021729</v>
      </c>
      <c r="AD75" s="2">
        <f t="shared" si="130"/>
        <v>0</v>
      </c>
      <c r="AE75" s="2"/>
      <c r="AG75">
        <f t="shared" si="131"/>
        <v>2020</v>
      </c>
      <c r="AH75" s="6">
        <f t="shared" si="132"/>
        <v>0.20943908335226372</v>
      </c>
      <c r="AI75" s="7"/>
      <c r="AJ75" s="6">
        <f t="shared" si="133"/>
        <v>0.156251308683691</v>
      </c>
      <c r="AK75" s="6">
        <f t="shared" si="134"/>
        <v>0.10407569611305505</v>
      </c>
      <c r="AL75" s="7"/>
      <c r="AM75" s="6">
        <f t="shared" si="135"/>
        <v>0.14690000576115986</v>
      </c>
      <c r="AN75" s="6">
        <f t="shared" si="136"/>
        <v>0.38333390608983042</v>
      </c>
      <c r="AO75" s="6">
        <f t="shared" si="137"/>
        <v>1</v>
      </c>
      <c r="AP75" s="7">
        <f t="shared" si="138"/>
        <v>0.61666609391016958</v>
      </c>
      <c r="AQ75" s="7">
        <f t="shared" si="139"/>
        <v>0</v>
      </c>
      <c r="AR75" s="24"/>
      <c r="AS75">
        <f t="shared" si="140"/>
        <v>2020</v>
      </c>
      <c r="AT75" s="1" t="b">
        <f t="shared" si="141"/>
        <v>1</v>
      </c>
      <c r="AV75" s="1" t="b">
        <f t="shared" si="142"/>
        <v>1</v>
      </c>
      <c r="AW75" s="1" t="b">
        <f t="shared" si="143"/>
        <v>1</v>
      </c>
      <c r="AY75" s="1" t="b">
        <f t="shared" si="144"/>
        <v>0</v>
      </c>
      <c r="AZ75" s="1" t="b">
        <f t="shared" si="145"/>
        <v>0</v>
      </c>
      <c r="BA75" s="1" t="b">
        <f t="shared" si="146"/>
        <v>1</v>
      </c>
      <c r="BC75">
        <f t="shared" si="147"/>
        <v>2020</v>
      </c>
      <c r="BD75" s="2">
        <f t="shared" si="148"/>
        <v>150943.17105739281</v>
      </c>
      <c r="BE75" s="2"/>
      <c r="BF75" s="2">
        <f t="shared" si="108"/>
        <v>113207.37829304459</v>
      </c>
      <c r="BG75" s="2">
        <f t="shared" si="108"/>
        <v>75471.585528696407</v>
      </c>
      <c r="BH75" s="2"/>
      <c r="BI75" s="2">
        <f t="shared" si="109"/>
        <v>113207.37829304459</v>
      </c>
      <c r="BJ75" s="2">
        <f t="shared" si="109"/>
        <v>301886.34211478563</v>
      </c>
      <c r="BK75" s="2">
        <f t="shared" si="149"/>
        <v>754715.85528696398</v>
      </c>
      <c r="BL75" s="2">
        <f t="shared" si="150"/>
        <v>0</v>
      </c>
      <c r="BM75" s="20"/>
    </row>
    <row r="76" spans="1:65" x14ac:dyDescent="0.2">
      <c r="A76" s="9" t="s">
        <v>94</v>
      </c>
      <c r="B76" s="10">
        <f>BD75</f>
        <v>150943.17105739281</v>
      </c>
      <c r="C76" s="10"/>
      <c r="D76" s="10">
        <f>BF75</f>
        <v>113207.37829304459</v>
      </c>
      <c r="E76" s="10">
        <f>BG75</f>
        <v>75471.585528696407</v>
      </c>
      <c r="F76" s="10"/>
      <c r="G76" s="10">
        <f>BI75</f>
        <v>113207.37829304459</v>
      </c>
      <c r="H76" s="10">
        <f>BJ75</f>
        <v>301886.34211478563</v>
      </c>
      <c r="I76" s="10">
        <f>SUM(B76:H76)</f>
        <v>754715.85528696398</v>
      </c>
      <c r="J76" s="10"/>
      <c r="K76" s="10"/>
      <c r="L76" s="74"/>
      <c r="N76" t="s">
        <v>156</v>
      </c>
      <c r="O76" s="2">
        <f>O73</f>
        <v>9532.7138277670056</v>
      </c>
      <c r="P76" s="2"/>
      <c r="R76" s="9" t="s">
        <v>94</v>
      </c>
      <c r="S76" s="10">
        <f>S75</f>
        <v>158066.99692272145</v>
      </c>
      <c r="T76" s="10"/>
      <c r="U76" s="10">
        <f>U75</f>
        <v>117925.34007291927</v>
      </c>
      <c r="V76" s="10">
        <f>V75</f>
        <v>78547.578006550495</v>
      </c>
      <c r="W76" s="10"/>
      <c r="X76" s="10">
        <f>X75</f>
        <v>110867.76348969369</v>
      </c>
      <c r="Y76" s="10">
        <f>Y75</f>
        <v>289308.17679507908</v>
      </c>
      <c r="Z76" s="10">
        <f>SUM(S76:Y76)</f>
        <v>754715.85528696398</v>
      </c>
      <c r="AA76" s="10"/>
      <c r="AB76" s="10"/>
      <c r="AC76" s="74"/>
      <c r="AD76" s="10"/>
      <c r="AE76" s="43"/>
      <c r="AG76" s="74" t="s">
        <v>132</v>
      </c>
      <c r="AH76" s="88">
        <f>AH75</f>
        <v>0.20943908335226372</v>
      </c>
      <c r="AI76" s="74"/>
      <c r="AJ76" s="88">
        <f>AJ75</f>
        <v>0.156251308683691</v>
      </c>
      <c r="AK76" s="74"/>
      <c r="AL76" s="74"/>
      <c r="AM76" s="88">
        <f>AM75</f>
        <v>0.14690000576115986</v>
      </c>
      <c r="AN76" s="88">
        <f>AN75</f>
        <v>0.38333390608983042</v>
      </c>
      <c r="AO76" s="88">
        <f>AO73</f>
        <v>1</v>
      </c>
      <c r="AP76" s="88">
        <f>AP75</f>
        <v>0.61666609391016958</v>
      </c>
      <c r="AQ76" s="88">
        <f>AQ75</f>
        <v>0</v>
      </c>
      <c r="BC76" s="21"/>
      <c r="BD76" s="22"/>
      <c r="BF76" s="22"/>
      <c r="BG76" s="22"/>
      <c r="BI76" s="22"/>
      <c r="BJ76" s="22"/>
    </row>
    <row r="77" spans="1:65" x14ac:dyDescent="0.2">
      <c r="A77" s="11" t="s">
        <v>157</v>
      </c>
      <c r="I77" s="6">
        <f>(Z76-Z42)/Z42</f>
        <v>6.5471585528696394</v>
      </c>
      <c r="K77" s="6"/>
      <c r="N77" t="s">
        <v>67</v>
      </c>
      <c r="O77" s="2">
        <f>SUM(O43:O75)</f>
        <v>240299.09094661573</v>
      </c>
      <c r="P77" s="2"/>
      <c r="AB77" s="6"/>
      <c r="AJ77" s="7"/>
      <c r="BF77" s="22"/>
    </row>
    <row r="78" spans="1:65" x14ac:dyDescent="0.2">
      <c r="A78" s="1" t="s">
        <v>158</v>
      </c>
      <c r="I78" s="12">
        <f>STDEV(AC43:AC75)</f>
        <v>0.10164369458600014</v>
      </c>
      <c r="AK78" s="89"/>
      <c r="AL78" s="89"/>
      <c r="AM78" s="90" t="s">
        <v>134</v>
      </c>
      <c r="AN78" s="89" t="b">
        <f>IF((AN75=AN76),TRUE,FALSE)</f>
        <v>1</v>
      </c>
      <c r="AO78" s="89"/>
      <c r="AP78" s="91" t="b">
        <f>IF(((SUM(AH75:AM75))=AP76),TRUE,FALSE)</f>
        <v>1</v>
      </c>
    </row>
    <row r="79" spans="1:65" x14ac:dyDescent="0.2">
      <c r="A79" s="1" t="s">
        <v>159</v>
      </c>
      <c r="I79" s="13">
        <f>((1+I77)^(1/I86))-1</f>
        <v>6.3162131554053591E-2</v>
      </c>
    </row>
    <row r="80" spans="1:65" x14ac:dyDescent="0.2">
      <c r="A80" s="1" t="s">
        <v>98</v>
      </c>
      <c r="I80" s="31">
        <f>J63</f>
        <v>-94788.155713741784</v>
      </c>
      <c r="O80" s="2"/>
      <c r="P80" s="2"/>
    </row>
    <row r="81" spans="1:26" x14ac:dyDescent="0.2">
      <c r="A81" s="1" t="s">
        <v>136</v>
      </c>
      <c r="I81" s="32">
        <f>K63</f>
        <v>-0.23419068766314199</v>
      </c>
    </row>
    <row r="82" spans="1:26" x14ac:dyDescent="0.2">
      <c r="A82" s="1" t="s">
        <v>103</v>
      </c>
      <c r="I82" s="2">
        <f>O77</f>
        <v>240299.09094661573</v>
      </c>
    </row>
    <row r="83" spans="1:26" x14ac:dyDescent="0.2">
      <c r="A83" s="3" t="s">
        <v>165</v>
      </c>
      <c r="B83" s="3"/>
      <c r="C83" s="3"/>
      <c r="D83" s="3"/>
      <c r="E83" s="3"/>
      <c r="F83" s="3"/>
      <c r="G83" s="3"/>
      <c r="H83" s="3"/>
      <c r="I83" s="33">
        <f>I76-Z76</f>
        <v>0</v>
      </c>
      <c r="Z83" s="2"/>
    </row>
    <row r="84" spans="1:26" x14ac:dyDescent="0.2">
      <c r="A84" s="3" t="s">
        <v>138</v>
      </c>
      <c r="B84" s="3"/>
      <c r="C84" s="3"/>
      <c r="D84" s="3"/>
      <c r="E84" s="3"/>
      <c r="F84" s="3"/>
      <c r="G84" s="3"/>
      <c r="H84" s="3"/>
      <c r="I84" s="33">
        <f>((SUM(AA43:AA75)))-(I76-I42)</f>
        <v>0</v>
      </c>
    </row>
    <row r="85" spans="1:26" x14ac:dyDescent="0.2">
      <c r="A85" s="3" t="s">
        <v>160</v>
      </c>
      <c r="B85" s="3"/>
      <c r="C85" s="3"/>
      <c r="D85" s="3"/>
      <c r="E85" s="3"/>
      <c r="F85" s="3"/>
      <c r="G85" s="3"/>
      <c r="H85" s="3"/>
      <c r="I85" s="33">
        <f>(SUM(O43:O75))-I82</f>
        <v>0</v>
      </c>
      <c r="Z85" s="73"/>
    </row>
    <row r="86" spans="1:26" x14ac:dyDescent="0.2">
      <c r="A86" s="3" t="s">
        <v>139</v>
      </c>
      <c r="B86" s="3"/>
      <c r="C86" s="3"/>
      <c r="D86" s="3"/>
      <c r="E86" s="3"/>
      <c r="F86" s="3"/>
      <c r="G86" s="3"/>
      <c r="H86" s="3"/>
      <c r="I86" s="75">
        <f>COUNTA(I43:I75)</f>
        <v>33</v>
      </c>
    </row>
    <row r="87" spans="1:26" x14ac:dyDescent="0.2">
      <c r="B87" s="63"/>
      <c r="C87" s="63"/>
      <c r="D87" s="63"/>
      <c r="E87" s="63"/>
      <c r="G87" s="63"/>
      <c r="H87" s="63"/>
      <c r="I87" s="63"/>
    </row>
    <row r="88" spans="1:26" x14ac:dyDescent="0.2">
      <c r="B88" s="2"/>
      <c r="D88" s="2"/>
      <c r="E88" s="2"/>
      <c r="G88" s="2"/>
      <c r="H88" s="2"/>
      <c r="I88" s="2"/>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H86"/>
  <sheetViews>
    <sheetView topLeftCell="Q34" zoomScale="120" zoomScaleNormal="120" workbookViewId="0">
      <selection activeCell="AN42" sqref="AN42"/>
    </sheetView>
  </sheetViews>
  <sheetFormatPr baseColWidth="10" defaultColWidth="8.83203125" defaultRowHeight="15" x14ac:dyDescent="0.2"/>
  <cols>
    <col min="1" max="1" width="25.5" customWidth="1"/>
    <col min="2" max="4" width="9.33203125" bestFit="1" customWidth="1"/>
    <col min="7" max="7" width="9.83203125" bestFit="1" customWidth="1"/>
    <col min="8" max="8" width="9.33203125" bestFit="1"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5" max="25" width="9.33203125" bestFit="1" customWidth="1"/>
    <col min="26" max="26" width="10.83203125" bestFit="1" customWidth="1"/>
    <col min="27" max="31" width="10.83203125" customWidth="1"/>
    <col min="46" max="46" width="10.83203125" bestFit="1" customWidth="1"/>
    <col min="47" max="48" width="9.33203125" bestFit="1" customWidth="1"/>
    <col min="51" max="51" width="9.83203125" bestFit="1" customWidth="1"/>
    <col min="52" max="53" width="9.33203125" bestFit="1" customWidth="1"/>
  </cols>
  <sheetData>
    <row r="1" spans="1:16" x14ac:dyDescent="0.2">
      <c r="A1" s="20" t="s">
        <v>104</v>
      </c>
      <c r="N1" s="20" t="s">
        <v>151</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 Withdrawals-No Rebalancing'!N28</f>
        <v>2012</v>
      </c>
      <c r="O28" s="50">
        <f>'4% Withdrawals-No Rebalancing'!O28</f>
        <v>1.7999999999999999E-2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 Withdrawals-No Rebalancing'!N29</f>
        <v>2013</v>
      </c>
      <c r="O29" s="50">
        <f>'4% Withdrawals-No Rebalancing'!O29</f>
        <v>1.15559170535223E-2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 Withdrawals-No Rebalancing'!N30</f>
        <v>2014</v>
      </c>
      <c r="O30" s="50">
        <f>'4% Withdrawals-No Rebalancing'!O30</f>
        <v>1.29E-2</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 Withdrawals-No Rebalancing'!N31</f>
        <v>2015</v>
      </c>
      <c r="O31" s="50">
        <f>'4% Withdrawals-No Rebalancing'!O31</f>
        <v>4.4000000000000003E-3</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 Withdrawals-No Rebalancing'!N32</f>
        <v>2016</v>
      </c>
      <c r="O32" s="50">
        <f>'4% Withdrawals-No Rebalancing'!O32</f>
        <v>1.7000000000000001E-2</v>
      </c>
    </row>
    <row r="33" spans="1:86"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 Withdrawals-No Rebalancing'!N33</f>
        <v>2017</v>
      </c>
      <c r="O33" s="50">
        <f>'4% Withdrawals-No Rebalancing'!O33</f>
        <v>2.23E-2</v>
      </c>
    </row>
    <row r="34" spans="1:86"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 Withdrawals-No Rebalancing'!N34</f>
        <v>2018</v>
      </c>
      <c r="O34" s="50">
        <f>'4% Withdrawals-No Rebalancing'!O34</f>
        <v>2.2088751106458498E-2</v>
      </c>
    </row>
    <row r="35" spans="1:86"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 Withdrawals-No Rebalancing'!N35</f>
        <v>2019</v>
      </c>
      <c r="O35" s="50">
        <f>'4% Withdrawals-No Rebalancing'!O35</f>
        <v>2.2862976460393248E-2</v>
      </c>
    </row>
    <row r="36" spans="1:86"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c r="N36" s="49">
        <f>'4% Withdrawals-No Rebalancing'!N36</f>
        <v>2020</v>
      </c>
      <c r="O36" s="50">
        <f>'4% Withdrawals-No Rebalancing'!O36</f>
        <v>1.1388082437623485E-2</v>
      </c>
    </row>
    <row r="39" spans="1:86" x14ac:dyDescent="0.2">
      <c r="A39" s="20" t="s">
        <v>148</v>
      </c>
      <c r="N39" s="20" t="s">
        <v>153</v>
      </c>
      <c r="R39" s="20" t="s">
        <v>170</v>
      </c>
      <c r="AG39" s="20" t="s">
        <v>171</v>
      </c>
      <c r="AR39" s="1"/>
      <c r="AS39" s="20" t="s">
        <v>172</v>
      </c>
      <c r="BL39" s="20" t="s">
        <v>163</v>
      </c>
    </row>
    <row r="40" spans="1:86"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S40" s="4" t="str">
        <f t="shared" ref="S40:Z42" si="1">B40</f>
        <v>LC Stocks</v>
      </c>
      <c r="T40" s="4" t="str">
        <f t="shared" si="1"/>
        <v>Ext Mkt</v>
      </c>
      <c r="U40" s="4" t="str">
        <f t="shared" si="1"/>
        <v>Mcap Stk</v>
      </c>
      <c r="V40" s="4" t="str">
        <f t="shared" si="1"/>
        <v>Small Cap</v>
      </c>
      <c r="W40" s="4" t="str">
        <f t="shared" si="1"/>
        <v>Intl Val</v>
      </c>
      <c r="X40" s="4" t="str">
        <f t="shared" si="1"/>
        <v>Tot Int Stk</v>
      </c>
      <c r="Y40" s="4" t="str">
        <f t="shared" si="1"/>
        <v>Bonds</v>
      </c>
      <c r="Z40" s="5"/>
      <c r="AA40" s="5" t="s">
        <v>121</v>
      </c>
      <c r="AB40" s="5" t="s">
        <v>122</v>
      </c>
      <c r="AC40" s="5" t="s">
        <v>123</v>
      </c>
      <c r="AD40" s="5" t="s">
        <v>144</v>
      </c>
      <c r="AE40" s="5"/>
      <c r="AH40" s="4" t="str">
        <f t="shared" ref="AH40:AN41" si="2">B40</f>
        <v>LC Stocks</v>
      </c>
      <c r="AI40" s="4" t="str">
        <f t="shared" si="2"/>
        <v>Ext Mkt</v>
      </c>
      <c r="AJ40" s="4" t="str">
        <f t="shared" si="2"/>
        <v>Mcap Stk</v>
      </c>
      <c r="AK40" s="4" t="str">
        <f t="shared" si="2"/>
        <v>Small Cap</v>
      </c>
      <c r="AL40" s="4" t="str">
        <f t="shared" si="2"/>
        <v>Intl Val</v>
      </c>
      <c r="AM40" s="4" t="str">
        <f t="shared" si="2"/>
        <v>Tot Int Stk</v>
      </c>
      <c r="AN40" s="4" t="str">
        <f t="shared" si="2"/>
        <v>Bonds</v>
      </c>
      <c r="AO40" s="5"/>
      <c r="AP40" s="5" t="s">
        <v>124</v>
      </c>
      <c r="AQ40" s="5" t="s">
        <v>125</v>
      </c>
      <c r="AR40" s="71"/>
      <c r="AT40" s="4" t="str">
        <f t="shared" ref="AT40:AZ42" si="3">BO40</f>
        <v>LC Stocks</v>
      </c>
      <c r="AU40" s="4" t="str">
        <f t="shared" si="3"/>
        <v>Ext Mkt</v>
      </c>
      <c r="AV40" s="4" t="str">
        <f t="shared" si="3"/>
        <v>Mcap Stk</v>
      </c>
      <c r="AW40" s="4" t="str">
        <f t="shared" si="3"/>
        <v>Small Cap</v>
      </c>
      <c r="AX40" s="4" t="str">
        <f t="shared" si="3"/>
        <v>Intl Val</v>
      </c>
      <c r="AY40" s="4" t="str">
        <f t="shared" si="3"/>
        <v>Tot Int Stk</v>
      </c>
      <c r="AZ40" s="4" t="str">
        <f t="shared" si="3"/>
        <v>Bonds</v>
      </c>
      <c r="BA40" s="4"/>
      <c r="BB40" t="s">
        <v>144</v>
      </c>
      <c r="BO40" s="4" t="str">
        <f t="shared" ref="BO40:BU42" si="4">AH40</f>
        <v>LC Stocks</v>
      </c>
      <c r="BP40" s="4" t="str">
        <f t="shared" si="4"/>
        <v>Ext Mkt</v>
      </c>
      <c r="BQ40" s="4" t="str">
        <f t="shared" si="4"/>
        <v>Mcap Stk</v>
      </c>
      <c r="BR40" s="4" t="str">
        <f t="shared" si="4"/>
        <v>Small Cap</v>
      </c>
      <c r="BS40" s="4" t="str">
        <f t="shared" si="4"/>
        <v>Intl Val</v>
      </c>
      <c r="BT40" s="4" t="str">
        <f t="shared" si="4"/>
        <v>Tot Int Stk</v>
      </c>
      <c r="BU40" s="4" t="str">
        <f t="shared" si="4"/>
        <v>Bonds</v>
      </c>
      <c r="BV40" s="5"/>
    </row>
    <row r="41" spans="1:86"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R41" t="str">
        <f>A41</f>
        <v>Fund</v>
      </c>
      <c r="S41" s="4" t="str">
        <f t="shared" si="1"/>
        <v>VFIAX</v>
      </c>
      <c r="T41" s="4" t="str">
        <f t="shared" si="1"/>
        <v>VEXMX</v>
      </c>
      <c r="U41" s="4" t="str">
        <f t="shared" si="1"/>
        <v>VIMAX</v>
      </c>
      <c r="V41" s="4" t="str">
        <f t="shared" si="1"/>
        <v>VSMAX</v>
      </c>
      <c r="W41" s="4" t="str">
        <f t="shared" si="1"/>
        <v>VTRIX</v>
      </c>
      <c r="X41" s="4" t="str">
        <f t="shared" si="1"/>
        <v>VTIAX</v>
      </c>
      <c r="Y41" s="4" t="str">
        <f t="shared" si="1"/>
        <v>VBTLX</v>
      </c>
      <c r="Z41" s="5" t="str">
        <f t="shared" si="1"/>
        <v>Total</v>
      </c>
      <c r="AA41" s="5" t="s">
        <v>127</v>
      </c>
      <c r="AB41" s="5" t="s">
        <v>128</v>
      </c>
      <c r="AC41" s="5" t="s">
        <v>128</v>
      </c>
      <c r="AD41" s="5" t="s">
        <v>129</v>
      </c>
      <c r="AE41" s="5"/>
      <c r="AG41" t="s">
        <v>126</v>
      </c>
      <c r="AH41" s="4" t="str">
        <f t="shared" si="2"/>
        <v>VFIAX</v>
      </c>
      <c r="AI41" s="4" t="str">
        <f t="shared" si="2"/>
        <v>VEXMX</v>
      </c>
      <c r="AJ41" s="4" t="str">
        <f t="shared" si="2"/>
        <v>VIMAX</v>
      </c>
      <c r="AK41" s="4" t="str">
        <f t="shared" si="2"/>
        <v>VSMAX</v>
      </c>
      <c r="AL41" s="4" t="str">
        <f t="shared" si="2"/>
        <v>VTRIX</v>
      </c>
      <c r="AM41" s="4" t="str">
        <f t="shared" si="2"/>
        <v>VTIAX</v>
      </c>
      <c r="AN41" s="4" t="str">
        <f t="shared" si="2"/>
        <v>VBTLX</v>
      </c>
      <c r="AO41" s="5" t="s">
        <v>67</v>
      </c>
      <c r="AP41" s="5" t="s">
        <v>125</v>
      </c>
      <c r="AQ41" s="5" t="s">
        <v>129</v>
      </c>
      <c r="AR41" s="71"/>
      <c r="AS41" t="s">
        <v>126</v>
      </c>
      <c r="AT41" s="4" t="str">
        <f t="shared" si="3"/>
        <v>VFIAX</v>
      </c>
      <c r="AU41" s="4" t="str">
        <f t="shared" si="3"/>
        <v>VEXMX</v>
      </c>
      <c r="AV41" s="4" t="str">
        <f t="shared" si="3"/>
        <v>VIMAX</v>
      </c>
      <c r="AW41" s="4" t="str">
        <f t="shared" si="3"/>
        <v>VSMAX</v>
      </c>
      <c r="AX41" s="4" t="str">
        <f t="shared" si="3"/>
        <v>VTRIX</v>
      </c>
      <c r="AY41" s="4" t="str">
        <f t="shared" si="3"/>
        <v>VTIAX</v>
      </c>
      <c r="AZ41" s="4" t="str">
        <f t="shared" si="3"/>
        <v>VBTLX</v>
      </c>
      <c r="BA41" s="4" t="str">
        <f>BV41</f>
        <v>Total</v>
      </c>
      <c r="BB41" t="s">
        <v>129</v>
      </c>
      <c r="BN41" t="str">
        <f t="shared" ref="BN41:BN69" si="5">AG41</f>
        <v>Fund</v>
      </c>
      <c r="BO41" s="4" t="str">
        <f t="shared" si="4"/>
        <v>VFIAX</v>
      </c>
      <c r="BP41" s="4" t="str">
        <f t="shared" si="4"/>
        <v>VEXMX</v>
      </c>
      <c r="BQ41" s="4" t="str">
        <f t="shared" si="4"/>
        <v>VIMAX</v>
      </c>
      <c r="BR41" s="4" t="str">
        <f t="shared" si="4"/>
        <v>VSMAX</v>
      </c>
      <c r="BS41" s="4" t="str">
        <f t="shared" si="4"/>
        <v>VTRIX</v>
      </c>
      <c r="BT41" s="4" t="str">
        <f t="shared" si="4"/>
        <v>VTIAX</v>
      </c>
      <c r="BU41" s="4" t="str">
        <f t="shared" si="4"/>
        <v>VBTLX</v>
      </c>
      <c r="BV41" s="4" t="str">
        <f>AO41</f>
        <v>Total</v>
      </c>
    </row>
    <row r="42" spans="1:86" x14ac:dyDescent="0.2">
      <c r="A42" t="s">
        <v>130</v>
      </c>
      <c r="B42" s="2">
        <f>'Non-Rebalanced Portfolio'!B42</f>
        <v>20000</v>
      </c>
      <c r="C42" s="2">
        <f>'Non-Rebalanced Portfolio'!C42</f>
        <v>25000</v>
      </c>
      <c r="F42" s="2">
        <f>'Non-Rebalanced Portfolio'!F42</f>
        <v>15000</v>
      </c>
      <c r="H42" s="2">
        <f>'Non-Rebalanced Portfolio'!H42</f>
        <v>40000</v>
      </c>
      <c r="I42" s="2">
        <f>SUM(B42:H42)</f>
        <v>100000</v>
      </c>
      <c r="N42" s="21"/>
      <c r="R42" t="str">
        <f>A42</f>
        <v>Stating Balance</v>
      </c>
      <c r="S42" s="2">
        <f>B42</f>
        <v>20000</v>
      </c>
      <c r="T42" s="2">
        <f t="shared" si="1"/>
        <v>25000</v>
      </c>
      <c r="U42" s="2">
        <f t="shared" si="1"/>
        <v>0</v>
      </c>
      <c r="V42" s="2">
        <f t="shared" si="1"/>
        <v>0</v>
      </c>
      <c r="W42" s="2">
        <f t="shared" si="1"/>
        <v>15000</v>
      </c>
      <c r="X42" s="2">
        <f t="shared" si="1"/>
        <v>0</v>
      </c>
      <c r="Y42" s="2">
        <f t="shared" si="1"/>
        <v>40000</v>
      </c>
      <c r="Z42" s="2">
        <f t="shared" si="1"/>
        <v>100000</v>
      </c>
      <c r="AD42" s="2"/>
      <c r="AE42" s="2"/>
      <c r="AG42" s="21" t="s">
        <v>131</v>
      </c>
      <c r="AH42" s="6">
        <f t="shared" ref="AH42:AH53" si="6">S42/$Z42</f>
        <v>0.2</v>
      </c>
      <c r="AI42" s="6">
        <f t="shared" ref="AI42:AI53" si="7">T42/$Z42</f>
        <v>0.25</v>
      </c>
      <c r="AJ42" s="23">
        <v>0.15</v>
      </c>
      <c r="AK42" s="23">
        <v>0.1</v>
      </c>
      <c r="AL42" s="6">
        <f t="shared" ref="AL42:AM57" si="8">W42/$Z42</f>
        <v>0.15</v>
      </c>
      <c r="AM42" s="23">
        <v>0.15</v>
      </c>
      <c r="AN42" s="6">
        <f>Y42/$Z42</f>
        <v>0.4</v>
      </c>
      <c r="AO42" s="6">
        <f>Z42/$Z42</f>
        <v>1</v>
      </c>
      <c r="AP42" s="24"/>
      <c r="AS42" s="21" t="str">
        <f>R42</f>
        <v>Stating Balance</v>
      </c>
      <c r="AT42" s="24">
        <f t="shared" si="3"/>
        <v>0.2</v>
      </c>
      <c r="AU42" s="24">
        <f t="shared" si="3"/>
        <v>0.25</v>
      </c>
      <c r="AV42" s="25">
        <f t="shared" si="3"/>
        <v>0.15</v>
      </c>
      <c r="AW42" s="25">
        <f t="shared" si="3"/>
        <v>0.1</v>
      </c>
      <c r="AX42" s="24">
        <f t="shared" si="3"/>
        <v>0.15</v>
      </c>
      <c r="AY42" s="25">
        <f t="shared" si="3"/>
        <v>0.15</v>
      </c>
      <c r="AZ42" s="24">
        <f t="shared" si="3"/>
        <v>0.4</v>
      </c>
      <c r="BA42" s="24">
        <f>BV42</f>
        <v>1</v>
      </c>
      <c r="BB42" s="2"/>
      <c r="BC42" s="2"/>
      <c r="BM42" s="24"/>
      <c r="BN42" s="21" t="str">
        <f t="shared" si="5"/>
        <v>Target Allocation</v>
      </c>
      <c r="BO42" s="24">
        <f t="shared" si="4"/>
        <v>0.2</v>
      </c>
      <c r="BP42" s="24">
        <f t="shared" si="4"/>
        <v>0.25</v>
      </c>
      <c r="BQ42" s="25">
        <f t="shared" si="4"/>
        <v>0.15</v>
      </c>
      <c r="BR42" s="25">
        <f t="shared" si="4"/>
        <v>0.1</v>
      </c>
      <c r="BS42" s="24">
        <f t="shared" si="4"/>
        <v>0.15</v>
      </c>
      <c r="BT42" s="25">
        <f t="shared" si="4"/>
        <v>0.15</v>
      </c>
      <c r="BU42" s="24">
        <f t="shared" si="4"/>
        <v>0.4</v>
      </c>
      <c r="BV42" s="24">
        <f>AO42</f>
        <v>1</v>
      </c>
    </row>
    <row r="43" spans="1:86" x14ac:dyDescent="0.2">
      <c r="A43">
        <f t="shared" ref="A43:A73" si="9">A4</f>
        <v>1988</v>
      </c>
      <c r="B43" s="2">
        <f t="shared" ref="B43:C43" si="10">B42*(1+(B4/100))</f>
        <v>23243.999999999996</v>
      </c>
      <c r="C43" s="2">
        <f t="shared" si="10"/>
        <v>29936.75</v>
      </c>
      <c r="D43" s="2"/>
      <c r="E43" s="2"/>
      <c r="F43" s="2">
        <f t="shared" ref="F43" si="11">F42*(1+(F4/100))</f>
        <v>17816.7</v>
      </c>
      <c r="G43" s="2"/>
      <c r="H43" s="2">
        <f t="shared" ref="H43" si="12">H42*(1+(H4/100))</f>
        <v>42939.999999999993</v>
      </c>
      <c r="I43" s="2">
        <f>SUM(B43:H43)</f>
        <v>113937.44999999998</v>
      </c>
      <c r="J43" s="2">
        <f>I43-I42</f>
        <v>13937.449999999983</v>
      </c>
      <c r="K43" s="83">
        <f>(J43/I42)</f>
        <v>0.13937449999999982</v>
      </c>
      <c r="L43" s="7">
        <f>K43+1</f>
        <v>1.1393744999999997</v>
      </c>
      <c r="N43">
        <f>A43</f>
        <v>1988</v>
      </c>
      <c r="O43" s="2">
        <f>I43*0.04</f>
        <v>4557.4979999999996</v>
      </c>
      <c r="P43" s="2"/>
      <c r="Q43" s="2"/>
      <c r="R43">
        <f>A43</f>
        <v>1988</v>
      </c>
      <c r="S43" s="2">
        <f>B43-($O43/4)</f>
        <v>22104.625499999995</v>
      </c>
      <c r="T43" s="2">
        <f>C43-($O43/4)</f>
        <v>28797.375500000002</v>
      </c>
      <c r="U43" s="2"/>
      <c r="V43" s="2"/>
      <c r="W43" s="2">
        <f t="shared" ref="W43:W51" si="13">F43-($O43/4)</f>
        <v>16677.325499999999</v>
      </c>
      <c r="X43" s="2"/>
      <c r="Y43" s="2">
        <f>H43-($O43/4)</f>
        <v>41800.625499999995</v>
      </c>
      <c r="Z43" s="2">
        <f>SUM(S43:Y43)</f>
        <v>109379.95199999999</v>
      </c>
      <c r="AA43" s="2">
        <f>Z43-Z42</f>
        <v>9379.9519999999902</v>
      </c>
      <c r="AB43" s="83">
        <f>(AA43/Z42)</f>
        <v>9.37995199999999E-2</v>
      </c>
      <c r="AC43" s="7">
        <f>AB43+1</f>
        <v>1.0937995199999999</v>
      </c>
      <c r="AD43" s="2">
        <f>Z43-(I43-O43)</f>
        <v>0</v>
      </c>
      <c r="AE43" s="2"/>
      <c r="AG43">
        <f t="shared" ref="AG43:AG67" si="14">A43</f>
        <v>1988</v>
      </c>
      <c r="AH43" s="6">
        <f t="shared" si="6"/>
        <v>0.20209028341866522</v>
      </c>
      <c r="AI43" s="6">
        <f t="shared" si="7"/>
        <v>0.26327837024466794</v>
      </c>
      <c r="AJ43" s="7"/>
      <c r="AK43" s="7"/>
      <c r="AL43" s="6">
        <f t="shared" si="8"/>
        <v>0.15247150135885962</v>
      </c>
      <c r="AM43" s="7"/>
      <c r="AN43" s="6">
        <f t="shared" ref="AN43:AN67" si="15">Y43/$Z43</f>
        <v>0.38215984497780725</v>
      </c>
      <c r="AO43" s="6">
        <f>SUM(AH43:AN43)</f>
        <v>1</v>
      </c>
      <c r="AP43" s="7">
        <f>SUM(AH43:AM43)</f>
        <v>0.61784015502219281</v>
      </c>
      <c r="AQ43" s="7">
        <f>AO43-(AP43+AN43)</f>
        <v>0</v>
      </c>
      <c r="AR43" s="7"/>
      <c r="AS43">
        <f>A43</f>
        <v>1988</v>
      </c>
      <c r="AT43" s="2">
        <f t="shared" ref="AT43:AT53" si="16">S43</f>
        <v>22104.625499999995</v>
      </c>
      <c r="AU43" s="2">
        <f t="shared" ref="AU43:AU53" si="17">T43</f>
        <v>28797.375500000002</v>
      </c>
      <c r="AV43" s="2"/>
      <c r="AW43" s="2"/>
      <c r="AX43" s="2">
        <f t="shared" ref="AX43:AX51" si="18">W43</f>
        <v>16677.325499999999</v>
      </c>
      <c r="AY43" s="2"/>
      <c r="AZ43" s="2">
        <f t="shared" ref="AZ43:AZ56" si="19">Y43</f>
        <v>41800.625499999995</v>
      </c>
      <c r="BA43" s="2">
        <f t="shared" ref="BA43:BA56" si="20">Z43</f>
        <v>109379.95199999999</v>
      </c>
      <c r="BB43" s="2">
        <f t="shared" ref="BB43:BB65" si="21">SUM(AT43:AZ43)-Z43</f>
        <v>0</v>
      </c>
      <c r="BC43" s="2"/>
      <c r="BM43" s="24"/>
      <c r="BN43">
        <f t="shared" si="5"/>
        <v>1988</v>
      </c>
      <c r="BO43" s="1" t="b">
        <f>AND((S43/$Z43)&gt;0.15,(S43/$Z43)&lt;0.25)</f>
        <v>1</v>
      </c>
      <c r="BP43" s="1" t="b">
        <f>AND((T43/$Z43)&gt;0.25,(T43/$Z43)&lt;0.35)</f>
        <v>1</v>
      </c>
      <c r="BS43" s="1" t="b">
        <f t="shared" ref="BS43:BS51" si="22">AND((W43/$Z43)&gt;0.15,(W43/$Z43)&lt;0.25)</f>
        <v>1</v>
      </c>
      <c r="BU43" s="1" t="b">
        <f>AND((Y43/$Z43)&gt;0.25,(Y43/$Z43)&lt;0.35)</f>
        <v>0</v>
      </c>
      <c r="BV43" s="1" t="b">
        <f>AND((Z43/$Z43)&gt;0.999,(Z43/$Z43)&lt;1.01)</f>
        <v>1</v>
      </c>
      <c r="CH43" s="2"/>
    </row>
    <row r="44" spans="1:86" x14ac:dyDescent="0.2">
      <c r="A44">
        <f t="shared" si="9"/>
        <v>1989</v>
      </c>
      <c r="B44" s="2">
        <f t="shared" ref="B44:B53" si="23">AT43*(1+(B5/100))</f>
        <v>29036.636056799995</v>
      </c>
      <c r="C44" s="2">
        <f t="shared" ref="C44:C53" si="24">AU43*(1+(C5/100))</f>
        <v>35736.391100480003</v>
      </c>
      <c r="D44" s="2"/>
      <c r="E44" s="2"/>
      <c r="F44" s="2">
        <f t="shared" ref="F44:F51" si="25">AX43*(1+(F5/100))</f>
        <v>21008.593705604999</v>
      </c>
      <c r="G44" s="2"/>
      <c r="H44" s="2">
        <f t="shared" ref="H44:H67" si="26">AZ43*(1+(H5/100))</f>
        <v>47502.230818199998</v>
      </c>
      <c r="I44" s="2">
        <f>SUM(B44:H44)</f>
        <v>133283.85168108501</v>
      </c>
      <c r="J44" s="2">
        <f t="shared" ref="J44:J67" si="27">I44-I43</f>
        <v>19346.40168108503</v>
      </c>
      <c r="K44" s="83">
        <f t="shared" ref="K44:K67" si="28">(J44/I43)</f>
        <v>0.16979844362924598</v>
      </c>
      <c r="L44" s="7">
        <f t="shared" ref="L44:L67" si="29">K44+1</f>
        <v>1.1697984436292459</v>
      </c>
      <c r="N44">
        <f t="shared" ref="N44:N67" si="30">A44</f>
        <v>1989</v>
      </c>
      <c r="O44" s="2">
        <f t="shared" ref="O44:O73" si="31">O43*(1+O5)</f>
        <v>4767.1429079999998</v>
      </c>
      <c r="P44" s="2"/>
      <c r="Q44" s="2"/>
      <c r="R44">
        <f t="shared" ref="R44:R67" si="32">A44</f>
        <v>1989</v>
      </c>
      <c r="S44" s="2">
        <f>B44-($O44/4)</f>
        <v>27844.850329799996</v>
      </c>
      <c r="T44" s="2">
        <f>C44-($O44/4)</f>
        <v>34544.605373480001</v>
      </c>
      <c r="U44" s="2"/>
      <c r="V44" s="2"/>
      <c r="W44" s="2">
        <f t="shared" ref="W44" si="33">F44-($O44/4)</f>
        <v>19816.807978605</v>
      </c>
      <c r="X44" s="2"/>
      <c r="Y44" s="2">
        <f>H44-($O44/4)</f>
        <v>46310.445091199996</v>
      </c>
      <c r="Z44" s="2">
        <f>SUM(S44:Y44)</f>
        <v>128516.708773085</v>
      </c>
      <c r="AA44" s="2">
        <f t="shared" ref="AA44:AA58" si="34">Z44-Z43</f>
        <v>19136.756773085013</v>
      </c>
      <c r="AB44" s="83">
        <f t="shared" ref="AB44:AB58" si="35">(AA44/Z43)</f>
        <v>0.17495671211379774</v>
      </c>
      <c r="AC44" s="7">
        <f t="shared" ref="AC44:AC67" si="36">AB44+1</f>
        <v>1.1749567121137978</v>
      </c>
      <c r="AD44" s="2">
        <f>Z44-(I44-O44)</f>
        <v>0</v>
      </c>
      <c r="AE44" s="2"/>
      <c r="AG44">
        <f t="shared" si="14"/>
        <v>1989</v>
      </c>
      <c r="AH44" s="6">
        <f t="shared" si="6"/>
        <v>0.2166632696684144</v>
      </c>
      <c r="AI44" s="6">
        <f t="shared" si="7"/>
        <v>0.26879466260277129</v>
      </c>
      <c r="AJ44" s="7"/>
      <c r="AK44" s="7"/>
      <c r="AL44" s="6">
        <f t="shared" si="8"/>
        <v>0.1541963544490893</v>
      </c>
      <c r="AM44" s="7"/>
      <c r="AN44" s="6">
        <f t="shared" si="15"/>
        <v>0.36034571327972492</v>
      </c>
      <c r="AO44" s="6">
        <f t="shared" ref="AO44:AO67" si="37">SUM(AH44:AN44)</f>
        <v>1</v>
      </c>
      <c r="AP44" s="7">
        <f t="shared" ref="AP44:AP67" si="38">SUM(AH44:AM44)</f>
        <v>0.63965428672027502</v>
      </c>
      <c r="AQ44" s="7">
        <f t="shared" ref="AQ44:AQ67" si="39">AO44-(AP44+AN44)</f>
        <v>0</v>
      </c>
      <c r="AR44" s="7"/>
      <c r="AS44">
        <f t="shared" ref="AS44:AS69" si="40">A44</f>
        <v>1989</v>
      </c>
      <c r="AT44" s="2">
        <f t="shared" si="16"/>
        <v>27844.850329799996</v>
      </c>
      <c r="AU44" s="2">
        <f t="shared" si="17"/>
        <v>34544.605373480001</v>
      </c>
      <c r="AV44" s="2"/>
      <c r="AW44" s="2"/>
      <c r="AX44" s="2">
        <f t="shared" si="18"/>
        <v>19816.807978605</v>
      </c>
      <c r="AY44" s="2"/>
      <c r="AZ44" s="2">
        <f t="shared" si="19"/>
        <v>46310.445091199996</v>
      </c>
      <c r="BA44" s="2">
        <f t="shared" si="20"/>
        <v>128516.708773085</v>
      </c>
      <c r="BB44" s="2">
        <f t="shared" si="21"/>
        <v>0</v>
      </c>
      <c r="BC44" s="2"/>
      <c r="BM44" s="24"/>
      <c r="BN44">
        <f t="shared" si="5"/>
        <v>1989</v>
      </c>
      <c r="BO44" s="1" t="b">
        <f t="shared" ref="BO44:BO69" si="41">AND((S44/$Z44)&gt;0.15,(S44/$Z44)&lt;0.25)</f>
        <v>1</v>
      </c>
      <c r="BP44" s="1" t="b">
        <f t="shared" ref="BP44:BP53" si="42">AND((T44/$Z44)&gt;0.25,(T44/$Z44)&lt;0.35)</f>
        <v>1</v>
      </c>
      <c r="BS44" s="1" t="b">
        <f t="shared" si="22"/>
        <v>1</v>
      </c>
      <c r="BU44" s="1" t="b">
        <f t="shared" ref="BU44:BU69" si="43">AND((Y44/$Z44)&gt;0.25,(Y44/$Z44)&lt;0.35)</f>
        <v>0</v>
      </c>
      <c r="BV44" s="1" t="b">
        <f t="shared" ref="BV44:BV69" si="44">AND((Z44/$Z44)&gt;0.999,(Z44/$Z44)&lt;1.01)</f>
        <v>1</v>
      </c>
      <c r="CH44" s="2"/>
    </row>
    <row r="45" spans="1:86" x14ac:dyDescent="0.2">
      <c r="A45">
        <f t="shared" si="9"/>
        <v>1990</v>
      </c>
      <c r="B45" s="2">
        <f t="shared" si="23"/>
        <v>26920.401298850637</v>
      </c>
      <c r="C45" s="2">
        <f t="shared" si="24"/>
        <v>29692.815548774735</v>
      </c>
      <c r="D45" s="2"/>
      <c r="E45" s="2"/>
      <c r="F45" s="2">
        <f t="shared" si="25"/>
        <v>17387.267320428025</v>
      </c>
      <c r="G45" s="2"/>
      <c r="H45" s="2">
        <f t="shared" si="26"/>
        <v>50316.298591588798</v>
      </c>
      <c r="I45" s="2">
        <f t="shared" ref="I45:I67" si="45">SUM(B45:H45)</f>
        <v>124316.7827596422</v>
      </c>
      <c r="J45" s="2">
        <f t="shared" si="27"/>
        <v>-8967.068921442813</v>
      </c>
      <c r="K45" s="83">
        <f t="shared" si="28"/>
        <v>-6.7277984604607391E-2</v>
      </c>
      <c r="L45" s="7">
        <f t="shared" si="29"/>
        <v>0.93272201539539257</v>
      </c>
      <c r="N45">
        <f t="shared" si="30"/>
        <v>1990</v>
      </c>
      <c r="O45" s="2">
        <f t="shared" si="31"/>
        <v>5067.4729112039995</v>
      </c>
      <c r="P45" s="2"/>
      <c r="Q45" s="2"/>
      <c r="R45">
        <f t="shared" si="32"/>
        <v>1990</v>
      </c>
      <c r="S45" s="2">
        <f t="shared" ref="S45:T52" si="46">B45-($O45/4)</f>
        <v>25653.533071049638</v>
      </c>
      <c r="T45" s="2">
        <f t="shared" si="46"/>
        <v>28425.947320973737</v>
      </c>
      <c r="U45" s="2"/>
      <c r="V45" s="2"/>
      <c r="W45" s="2">
        <f t="shared" si="13"/>
        <v>16120.399092627025</v>
      </c>
      <c r="X45" s="2"/>
      <c r="Y45" s="2">
        <f t="shared" ref="Y45:Y52" si="47">H45-($O45/4)</f>
        <v>49049.430363787797</v>
      </c>
      <c r="Z45" s="2">
        <f t="shared" ref="Z45:Z67" si="48">SUM(S45:Y45)</f>
        <v>119249.30984843819</v>
      </c>
      <c r="AA45" s="2">
        <f t="shared" si="34"/>
        <v>-9267.3989246468118</v>
      </c>
      <c r="AB45" s="83">
        <f t="shared" si="35"/>
        <v>-7.2110459512387273E-2</v>
      </c>
      <c r="AC45" s="7">
        <f t="shared" si="36"/>
        <v>0.92788954048761274</v>
      </c>
      <c r="AD45" s="2">
        <f t="shared" ref="AD45:AD67" si="49">Z45-(I45-O45)</f>
        <v>0</v>
      </c>
      <c r="AE45" s="2"/>
      <c r="AG45">
        <f t="shared" si="14"/>
        <v>1990</v>
      </c>
      <c r="AH45" s="6">
        <f t="shared" si="6"/>
        <v>0.21512521207589716</v>
      </c>
      <c r="AI45" s="6">
        <f t="shared" si="7"/>
        <v>0.23837410344011339</v>
      </c>
      <c r="AJ45" s="7"/>
      <c r="AK45" s="7"/>
      <c r="AL45" s="6">
        <f t="shared" si="8"/>
        <v>0.13518232611254105</v>
      </c>
      <c r="AM45" s="7"/>
      <c r="AN45" s="6">
        <f t="shared" si="15"/>
        <v>0.41131835837144842</v>
      </c>
      <c r="AO45" s="6">
        <f t="shared" si="37"/>
        <v>1</v>
      </c>
      <c r="AP45" s="7">
        <f t="shared" si="38"/>
        <v>0.58868164162855163</v>
      </c>
      <c r="AQ45" s="7">
        <f t="shared" si="39"/>
        <v>0</v>
      </c>
      <c r="AR45" s="7"/>
      <c r="AS45">
        <f t="shared" si="40"/>
        <v>1990</v>
      </c>
      <c r="AT45" s="2">
        <f t="shared" si="16"/>
        <v>25653.533071049638</v>
      </c>
      <c r="AU45" s="2">
        <f t="shared" si="17"/>
        <v>28425.947320973737</v>
      </c>
      <c r="AV45" s="2"/>
      <c r="AW45" s="2"/>
      <c r="AX45" s="2">
        <f t="shared" si="18"/>
        <v>16120.399092627025</v>
      </c>
      <c r="AY45" s="2"/>
      <c r="AZ45" s="2">
        <f t="shared" si="19"/>
        <v>49049.430363787797</v>
      </c>
      <c r="BA45" s="2">
        <f t="shared" si="20"/>
        <v>119249.30984843819</v>
      </c>
      <c r="BB45" s="2">
        <f t="shared" si="21"/>
        <v>0</v>
      </c>
      <c r="BC45" s="2"/>
      <c r="BM45" s="24"/>
      <c r="BN45">
        <f t="shared" si="5"/>
        <v>1990</v>
      </c>
      <c r="BO45" s="1" t="b">
        <f t="shared" si="41"/>
        <v>1</v>
      </c>
      <c r="BP45" s="1" t="b">
        <f t="shared" si="42"/>
        <v>0</v>
      </c>
      <c r="BS45" s="1" t="b">
        <f t="shared" si="22"/>
        <v>0</v>
      </c>
      <c r="BU45" s="1" t="b">
        <f t="shared" si="43"/>
        <v>0</v>
      </c>
      <c r="BV45" s="1" t="b">
        <f t="shared" si="44"/>
        <v>1</v>
      </c>
      <c r="CH45" s="2"/>
    </row>
    <row r="46" spans="1:86" x14ac:dyDescent="0.2">
      <c r="A46">
        <f t="shared" si="9"/>
        <v>1991</v>
      </c>
      <c r="B46" s="2">
        <f t="shared" si="23"/>
        <v>33406.030765120842</v>
      </c>
      <c r="C46" s="2">
        <f t="shared" si="24"/>
        <v>40322.206274801247</v>
      </c>
      <c r="D46" s="2"/>
      <c r="E46" s="2"/>
      <c r="F46" s="2">
        <f t="shared" si="25"/>
        <v>17725.346026288975</v>
      </c>
      <c r="G46" s="2"/>
      <c r="H46" s="2">
        <f t="shared" si="26"/>
        <v>56529.468494265442</v>
      </c>
      <c r="I46" s="2">
        <f t="shared" si="45"/>
        <v>147983.05156047651</v>
      </c>
      <c r="J46" s="2">
        <f t="shared" si="27"/>
        <v>23666.26880083431</v>
      </c>
      <c r="K46" s="83">
        <f t="shared" si="28"/>
        <v>0.19037066657839261</v>
      </c>
      <c r="L46" s="7">
        <f t="shared" si="29"/>
        <v>1.1903706665783926</v>
      </c>
      <c r="N46">
        <f t="shared" si="30"/>
        <v>1991</v>
      </c>
      <c r="O46" s="2">
        <f t="shared" si="31"/>
        <v>5219.4970985401196</v>
      </c>
      <c r="P46" s="2"/>
      <c r="Q46" s="2"/>
      <c r="R46">
        <f t="shared" si="32"/>
        <v>1991</v>
      </c>
      <c r="S46" s="2">
        <f t="shared" si="46"/>
        <v>32101.156490485813</v>
      </c>
      <c r="T46" s="2">
        <f t="shared" si="46"/>
        <v>39017.332000166214</v>
      </c>
      <c r="U46" s="2"/>
      <c r="V46" s="2"/>
      <c r="W46" s="2">
        <f t="shared" si="13"/>
        <v>16420.471751653946</v>
      </c>
      <c r="X46" s="2"/>
      <c r="Y46" s="2">
        <f t="shared" si="47"/>
        <v>55224.594219630409</v>
      </c>
      <c r="Z46" s="2">
        <f t="shared" si="48"/>
        <v>142763.55446193638</v>
      </c>
      <c r="AA46" s="2">
        <f t="shared" si="34"/>
        <v>23514.244613498187</v>
      </c>
      <c r="AB46" s="83">
        <f t="shared" si="35"/>
        <v>0.19718558240197775</v>
      </c>
      <c r="AC46" s="7">
        <f t="shared" si="36"/>
        <v>1.1971855824019777</v>
      </c>
      <c r="AD46" s="2">
        <f t="shared" si="49"/>
        <v>0</v>
      </c>
      <c r="AE46" s="2"/>
      <c r="AG46">
        <f t="shared" si="14"/>
        <v>1991</v>
      </c>
      <c r="AH46" s="6">
        <f t="shared" si="6"/>
        <v>0.22485540242726743</v>
      </c>
      <c r="AI46" s="6">
        <f t="shared" si="7"/>
        <v>0.27330036820124853</v>
      </c>
      <c r="AJ46" s="7"/>
      <c r="AK46" s="7"/>
      <c r="AL46" s="6">
        <f t="shared" si="8"/>
        <v>0.11501865313974073</v>
      </c>
      <c r="AM46" s="7"/>
      <c r="AN46" s="6">
        <f t="shared" si="15"/>
        <v>0.3868255762317433</v>
      </c>
      <c r="AO46" s="6">
        <f t="shared" si="37"/>
        <v>1</v>
      </c>
      <c r="AP46" s="7">
        <f t="shared" si="38"/>
        <v>0.6131744237682567</v>
      </c>
      <c r="AQ46" s="7">
        <f t="shared" si="39"/>
        <v>0</v>
      </c>
      <c r="AR46" s="7"/>
      <c r="AS46">
        <f t="shared" si="40"/>
        <v>1991</v>
      </c>
      <c r="AT46" s="2">
        <f t="shared" si="16"/>
        <v>32101.156490485813</v>
      </c>
      <c r="AU46" s="2">
        <f t="shared" si="17"/>
        <v>39017.332000166214</v>
      </c>
      <c r="AV46" s="2"/>
      <c r="AW46" s="2"/>
      <c r="AX46" s="2">
        <f t="shared" si="18"/>
        <v>16420.471751653946</v>
      </c>
      <c r="AY46" s="2"/>
      <c r="AZ46" s="2">
        <f t="shared" si="19"/>
        <v>55224.594219630409</v>
      </c>
      <c r="BA46" s="2">
        <f t="shared" si="20"/>
        <v>142763.55446193638</v>
      </c>
      <c r="BB46" s="2">
        <f t="shared" si="21"/>
        <v>0</v>
      </c>
      <c r="BC46" s="2"/>
      <c r="BM46" s="24"/>
      <c r="BN46">
        <f t="shared" si="5"/>
        <v>1991</v>
      </c>
      <c r="BO46" s="1" t="b">
        <f t="shared" si="41"/>
        <v>1</v>
      </c>
      <c r="BP46" s="1" t="b">
        <f t="shared" si="42"/>
        <v>1</v>
      </c>
      <c r="BS46" s="1" t="b">
        <f t="shared" si="22"/>
        <v>0</v>
      </c>
      <c r="BU46" s="1" t="b">
        <f t="shared" si="43"/>
        <v>0</v>
      </c>
      <c r="BV46" s="1" t="b">
        <f t="shared" si="44"/>
        <v>1</v>
      </c>
      <c r="CH46" s="2"/>
    </row>
    <row r="47" spans="1:86" x14ac:dyDescent="0.2">
      <c r="A47">
        <f t="shared" si="9"/>
        <v>1992</v>
      </c>
      <c r="B47" s="2">
        <f t="shared" si="23"/>
        <v>34483.062302079859</v>
      </c>
      <c r="C47" s="2">
        <f t="shared" si="24"/>
        <v>43881.232607306934</v>
      </c>
      <c r="D47" s="2"/>
      <c r="E47" s="2"/>
      <c r="F47" s="2">
        <f t="shared" si="25"/>
        <v>14988.442410192205</v>
      </c>
      <c r="G47" s="2"/>
      <c r="H47" s="2">
        <f t="shared" si="26"/>
        <v>59167.630246912013</v>
      </c>
      <c r="I47" s="2">
        <f t="shared" si="45"/>
        <v>152520.36756649101</v>
      </c>
      <c r="J47" s="2">
        <f t="shared" si="27"/>
        <v>4537.3160060145019</v>
      </c>
      <c r="K47" s="83">
        <f t="shared" si="28"/>
        <v>3.0661051777001833E-2</v>
      </c>
      <c r="L47" s="7">
        <f t="shared" si="29"/>
        <v>1.0306610517770018</v>
      </c>
      <c r="N47">
        <f t="shared" si="30"/>
        <v>1992</v>
      </c>
      <c r="O47" s="2">
        <f t="shared" si="31"/>
        <v>5376.0820114963235</v>
      </c>
      <c r="P47" s="2"/>
      <c r="Q47" s="2"/>
      <c r="R47">
        <f t="shared" si="32"/>
        <v>1992</v>
      </c>
      <c r="S47" s="2">
        <f t="shared" si="46"/>
        <v>33139.041799205777</v>
      </c>
      <c r="T47" s="2">
        <f t="shared" si="46"/>
        <v>42537.212104432852</v>
      </c>
      <c r="U47" s="2"/>
      <c r="V47" s="2"/>
      <c r="W47" s="2">
        <f t="shared" si="13"/>
        <v>13644.421907318125</v>
      </c>
      <c r="X47" s="2"/>
      <c r="Y47" s="2">
        <f t="shared" si="47"/>
        <v>57823.609744037931</v>
      </c>
      <c r="Z47" s="2">
        <f t="shared" si="48"/>
        <v>147144.28555499468</v>
      </c>
      <c r="AA47" s="2">
        <f t="shared" si="34"/>
        <v>4380.7310930583044</v>
      </c>
      <c r="AB47" s="83">
        <f t="shared" si="35"/>
        <v>3.0685220114957945E-2</v>
      </c>
      <c r="AC47" s="7">
        <f t="shared" si="36"/>
        <v>1.0306852201149579</v>
      </c>
      <c r="AD47" s="2">
        <f t="shared" si="49"/>
        <v>0</v>
      </c>
      <c r="AE47" s="2"/>
      <c r="AG47">
        <f t="shared" si="14"/>
        <v>1992</v>
      </c>
      <c r="AH47" s="59">
        <f t="shared" si="6"/>
        <v>0.22521460262090962</v>
      </c>
      <c r="AI47" s="59">
        <f t="shared" si="7"/>
        <v>0.2890850429154771</v>
      </c>
      <c r="AJ47" s="60"/>
      <c r="AK47" s="60"/>
      <c r="AL47" s="59">
        <f t="shared" si="8"/>
        <v>9.2728180750305575E-2</v>
      </c>
      <c r="AM47" s="60"/>
      <c r="AN47" s="59">
        <f t="shared" si="15"/>
        <v>0.39297217371330773</v>
      </c>
      <c r="AO47" s="6">
        <f t="shared" si="37"/>
        <v>1</v>
      </c>
      <c r="AP47" s="7">
        <f t="shared" si="38"/>
        <v>0.60702782628669227</v>
      </c>
      <c r="AQ47" s="7">
        <f t="shared" si="39"/>
        <v>0</v>
      </c>
      <c r="AR47" s="7"/>
      <c r="AS47">
        <f t="shared" si="40"/>
        <v>1992</v>
      </c>
      <c r="AT47" s="2">
        <f t="shared" si="16"/>
        <v>33139.041799205777</v>
      </c>
      <c r="AU47" s="2">
        <f t="shared" si="17"/>
        <v>42537.212104432852</v>
      </c>
      <c r="AV47" s="2"/>
      <c r="AW47" s="2"/>
      <c r="AX47" s="2">
        <f t="shared" si="18"/>
        <v>13644.421907318125</v>
      </c>
      <c r="AY47" s="2"/>
      <c r="AZ47" s="2">
        <f t="shared" si="19"/>
        <v>57823.609744037931</v>
      </c>
      <c r="BA47" s="2">
        <f t="shared" si="20"/>
        <v>147144.28555499468</v>
      </c>
      <c r="BB47" s="2">
        <f t="shared" si="21"/>
        <v>0</v>
      </c>
      <c r="BC47" s="2"/>
      <c r="BM47" s="24"/>
      <c r="BN47">
        <f t="shared" si="5"/>
        <v>1992</v>
      </c>
      <c r="BO47" s="1" t="b">
        <f t="shared" si="41"/>
        <v>1</v>
      </c>
      <c r="BP47" s="28" t="b">
        <f t="shared" si="42"/>
        <v>1</v>
      </c>
      <c r="BS47" s="28" t="b">
        <f t="shared" si="22"/>
        <v>0</v>
      </c>
      <c r="BU47" s="1" t="b">
        <f t="shared" si="43"/>
        <v>0</v>
      </c>
      <c r="BV47" s="1" t="b">
        <f t="shared" si="44"/>
        <v>1</v>
      </c>
      <c r="CH47" s="2"/>
    </row>
    <row r="48" spans="1:86" x14ac:dyDescent="0.2">
      <c r="A48">
        <f t="shared" si="9"/>
        <v>1993</v>
      </c>
      <c r="B48" s="2">
        <f t="shared" si="23"/>
        <v>36416.493033147228</v>
      </c>
      <c r="C48" s="2">
        <f t="shared" si="24"/>
        <v>48700.854138365175</v>
      </c>
      <c r="D48" s="2"/>
      <c r="E48" s="2"/>
      <c r="F48" s="2">
        <f t="shared" si="25"/>
        <v>17805.151923735713</v>
      </c>
      <c r="G48" s="2"/>
      <c r="H48" s="2">
        <f t="shared" si="26"/>
        <v>63420.935167260803</v>
      </c>
      <c r="I48" s="2">
        <f t="shared" si="45"/>
        <v>166343.43426250893</v>
      </c>
      <c r="J48" s="2">
        <f t="shared" si="27"/>
        <v>13823.066696017922</v>
      </c>
      <c r="K48" s="83">
        <f t="shared" si="28"/>
        <v>9.063095582950112E-2</v>
      </c>
      <c r="L48" s="7">
        <f t="shared" si="29"/>
        <v>1.0906309558295011</v>
      </c>
      <c r="N48">
        <f t="shared" si="30"/>
        <v>1993</v>
      </c>
      <c r="O48" s="2">
        <f t="shared" si="31"/>
        <v>5526.6123078182209</v>
      </c>
      <c r="P48" s="2"/>
      <c r="Q48" s="2"/>
      <c r="R48">
        <f t="shared" si="32"/>
        <v>1993</v>
      </c>
      <c r="S48" s="2">
        <f t="shared" si="46"/>
        <v>35034.839956192671</v>
      </c>
      <c r="T48" s="2">
        <f t="shared" si="46"/>
        <v>47319.201061410618</v>
      </c>
      <c r="U48" s="2"/>
      <c r="V48" s="2"/>
      <c r="W48" s="2">
        <f t="shared" si="13"/>
        <v>16423.498846781156</v>
      </c>
      <c r="X48" s="2"/>
      <c r="Y48" s="2">
        <f t="shared" si="47"/>
        <v>62039.282090306246</v>
      </c>
      <c r="Z48" s="2">
        <f t="shared" si="48"/>
        <v>160816.82195469071</v>
      </c>
      <c r="AA48" s="2">
        <f t="shared" si="34"/>
        <v>13672.536399696022</v>
      </c>
      <c r="AB48" s="83">
        <f t="shared" si="35"/>
        <v>9.2919248261163073E-2</v>
      </c>
      <c r="AC48" s="7">
        <f t="shared" si="36"/>
        <v>1.0929192482611632</v>
      </c>
      <c r="AD48" s="2">
        <f t="shared" si="49"/>
        <v>0</v>
      </c>
      <c r="AE48" s="2"/>
      <c r="AG48">
        <f t="shared" si="14"/>
        <v>1993</v>
      </c>
      <c r="AH48" s="59">
        <f t="shared" si="6"/>
        <v>0.21785556716239271</v>
      </c>
      <c r="AI48" s="59">
        <f t="shared" si="7"/>
        <v>0.294242856476436</v>
      </c>
      <c r="AJ48" s="60"/>
      <c r="AK48" s="60"/>
      <c r="AL48" s="59">
        <f t="shared" si="8"/>
        <v>0.1021255030857928</v>
      </c>
      <c r="AM48" s="60"/>
      <c r="AN48" s="59">
        <f t="shared" si="15"/>
        <v>0.38577607327537844</v>
      </c>
      <c r="AO48" s="6">
        <f t="shared" si="37"/>
        <v>1</v>
      </c>
      <c r="AP48" s="7">
        <f t="shared" si="38"/>
        <v>0.61422392672462156</v>
      </c>
      <c r="AQ48" s="7">
        <f t="shared" si="39"/>
        <v>0</v>
      </c>
      <c r="AR48" s="7"/>
      <c r="AS48">
        <f t="shared" si="40"/>
        <v>1993</v>
      </c>
      <c r="AT48" s="2">
        <f t="shared" si="16"/>
        <v>35034.839956192671</v>
      </c>
      <c r="AU48" s="2">
        <f t="shared" si="17"/>
        <v>47319.201061410618</v>
      </c>
      <c r="AV48" s="2"/>
      <c r="AW48" s="2"/>
      <c r="AX48" s="2">
        <f t="shared" si="18"/>
        <v>16423.498846781156</v>
      </c>
      <c r="AY48" s="2"/>
      <c r="AZ48" s="2">
        <f t="shared" si="19"/>
        <v>62039.282090306246</v>
      </c>
      <c r="BA48" s="2">
        <f t="shared" si="20"/>
        <v>160816.82195469071</v>
      </c>
      <c r="BB48" s="2">
        <f t="shared" si="21"/>
        <v>0</v>
      </c>
      <c r="BC48" s="2"/>
      <c r="BM48" s="24"/>
      <c r="BN48">
        <f t="shared" si="5"/>
        <v>1993</v>
      </c>
      <c r="BO48" s="1" t="b">
        <f t="shared" si="41"/>
        <v>1</v>
      </c>
      <c r="BP48" s="1" t="b">
        <f t="shared" si="42"/>
        <v>1</v>
      </c>
      <c r="BS48" s="1" t="b">
        <f t="shared" si="22"/>
        <v>0</v>
      </c>
      <c r="BU48" s="1" t="b">
        <f t="shared" si="43"/>
        <v>0</v>
      </c>
      <c r="BV48" s="1" t="b">
        <f t="shared" si="44"/>
        <v>1</v>
      </c>
      <c r="CH48" s="2"/>
    </row>
    <row r="49" spans="1:86" x14ac:dyDescent="0.2">
      <c r="A49">
        <f t="shared" si="9"/>
        <v>1994</v>
      </c>
      <c r="B49" s="2">
        <f t="shared" si="23"/>
        <v>35448.251067675745</v>
      </c>
      <c r="C49" s="2">
        <f t="shared" si="24"/>
        <v>46484.490354687332</v>
      </c>
      <c r="D49" s="2"/>
      <c r="E49" s="2"/>
      <c r="F49" s="2">
        <f t="shared" si="25"/>
        <v>17286.553711179509</v>
      </c>
      <c r="G49" s="2"/>
      <c r="H49" s="2">
        <f t="shared" si="26"/>
        <v>60389.037186704103</v>
      </c>
      <c r="I49" s="2">
        <f t="shared" si="45"/>
        <v>159608.3323202467</v>
      </c>
      <c r="J49" s="2">
        <f t="shared" si="27"/>
        <v>-6735.1019422622339</v>
      </c>
      <c r="K49" s="83">
        <f t="shared" si="28"/>
        <v>-4.0489136058315799E-2</v>
      </c>
      <c r="L49" s="7">
        <f t="shared" si="29"/>
        <v>0.95951086394168417</v>
      </c>
      <c r="N49">
        <f t="shared" si="30"/>
        <v>1994</v>
      </c>
      <c r="O49" s="2">
        <f t="shared" si="31"/>
        <v>5670.3042278214944</v>
      </c>
      <c r="P49" s="2"/>
      <c r="Q49" s="2"/>
      <c r="R49">
        <f t="shared" si="32"/>
        <v>1994</v>
      </c>
      <c r="S49" s="2">
        <f t="shared" si="46"/>
        <v>34030.67501072037</v>
      </c>
      <c r="T49" s="2">
        <f t="shared" si="46"/>
        <v>45066.914297731957</v>
      </c>
      <c r="U49" s="2"/>
      <c r="V49" s="2"/>
      <c r="W49" s="2">
        <f t="shared" si="13"/>
        <v>15868.977654224136</v>
      </c>
      <c r="X49" s="2"/>
      <c r="Y49" s="2">
        <f t="shared" si="47"/>
        <v>58971.461129748728</v>
      </c>
      <c r="Z49" s="2">
        <f t="shared" si="48"/>
        <v>153938.0280924252</v>
      </c>
      <c r="AA49" s="2">
        <f t="shared" si="34"/>
        <v>-6878.7938622655056</v>
      </c>
      <c r="AB49" s="83">
        <f t="shared" si="35"/>
        <v>-4.2774094019862985E-2</v>
      </c>
      <c r="AC49" s="7">
        <f t="shared" si="36"/>
        <v>0.95722590598013702</v>
      </c>
      <c r="AD49" s="2">
        <f t="shared" si="49"/>
        <v>0</v>
      </c>
      <c r="AE49" s="2"/>
      <c r="AG49">
        <f t="shared" si="14"/>
        <v>1994</v>
      </c>
      <c r="AH49" s="6">
        <f t="shared" si="6"/>
        <v>0.2210673699827321</v>
      </c>
      <c r="AI49" s="6">
        <f t="shared" si="7"/>
        <v>0.29276011169035859</v>
      </c>
      <c r="AJ49" s="7"/>
      <c r="AK49" s="7"/>
      <c r="AL49" s="6">
        <f t="shared" si="8"/>
        <v>0.10308679311324112</v>
      </c>
      <c r="AM49" s="7"/>
      <c r="AN49" s="6">
        <f t="shared" si="15"/>
        <v>0.38308572521366813</v>
      </c>
      <c r="AO49" s="6">
        <f t="shared" si="37"/>
        <v>0.99999999999999989</v>
      </c>
      <c r="AP49" s="7">
        <f t="shared" si="38"/>
        <v>0.61691427478633176</v>
      </c>
      <c r="AQ49" s="7">
        <f t="shared" si="39"/>
        <v>0</v>
      </c>
      <c r="AR49" s="7"/>
      <c r="AS49">
        <f t="shared" si="40"/>
        <v>1994</v>
      </c>
      <c r="AT49" s="2">
        <f t="shared" si="16"/>
        <v>34030.67501072037</v>
      </c>
      <c r="AU49" s="2">
        <f t="shared" si="17"/>
        <v>45066.914297731957</v>
      </c>
      <c r="AV49" s="2"/>
      <c r="AW49" s="2"/>
      <c r="AX49" s="2">
        <f t="shared" si="18"/>
        <v>15868.977654224136</v>
      </c>
      <c r="AY49" s="2"/>
      <c r="AZ49" s="2">
        <f t="shared" si="19"/>
        <v>58971.461129748728</v>
      </c>
      <c r="BA49" s="2">
        <f t="shared" si="20"/>
        <v>153938.0280924252</v>
      </c>
      <c r="BB49" s="2">
        <f t="shared" si="21"/>
        <v>0</v>
      </c>
      <c r="BC49" s="2"/>
      <c r="BM49" s="24"/>
      <c r="BN49">
        <f t="shared" si="5"/>
        <v>1994</v>
      </c>
      <c r="BO49" s="1" t="b">
        <f t="shared" si="41"/>
        <v>1</v>
      </c>
      <c r="BP49" s="1" t="b">
        <f t="shared" si="42"/>
        <v>1</v>
      </c>
      <c r="BS49" s="1" t="b">
        <f t="shared" si="22"/>
        <v>0</v>
      </c>
      <c r="BU49" s="1" t="b">
        <f t="shared" si="43"/>
        <v>0</v>
      </c>
      <c r="BV49" s="1" t="b">
        <f t="shared" si="44"/>
        <v>1</v>
      </c>
      <c r="CH49" s="2"/>
    </row>
    <row r="50" spans="1:86" x14ac:dyDescent="0.2">
      <c r="A50">
        <f t="shared" si="9"/>
        <v>1995</v>
      </c>
      <c r="B50" s="2">
        <f t="shared" si="23"/>
        <v>46775.162802235151</v>
      </c>
      <c r="C50" s="2">
        <f t="shared" si="24"/>
        <v>60298.179322936419</v>
      </c>
      <c r="D50" s="2"/>
      <c r="E50" s="2"/>
      <c r="F50" s="2">
        <f t="shared" si="25"/>
        <v>17399.699238750596</v>
      </c>
      <c r="G50" s="2"/>
      <c r="H50" s="2">
        <f t="shared" si="26"/>
        <v>69692.472763137048</v>
      </c>
      <c r="I50" s="2">
        <f t="shared" si="45"/>
        <v>194165.5141270592</v>
      </c>
      <c r="J50" s="2">
        <f t="shared" si="27"/>
        <v>34557.181806812499</v>
      </c>
      <c r="K50" s="83">
        <f t="shared" si="28"/>
        <v>0.21651239195629912</v>
      </c>
      <c r="L50" s="7">
        <f t="shared" si="29"/>
        <v>1.2165123919562992</v>
      </c>
      <c r="N50">
        <f t="shared" si="30"/>
        <v>1995</v>
      </c>
      <c r="O50" s="2">
        <f t="shared" si="31"/>
        <v>5812.0618335170311</v>
      </c>
      <c r="P50" s="2"/>
      <c r="Q50" s="2"/>
      <c r="R50">
        <f t="shared" si="32"/>
        <v>1995</v>
      </c>
      <c r="S50" s="2">
        <f t="shared" si="46"/>
        <v>45322.14734385589</v>
      </c>
      <c r="T50" s="2">
        <f t="shared" si="46"/>
        <v>58845.163864557158</v>
      </c>
      <c r="U50" s="2"/>
      <c r="V50" s="2"/>
      <c r="W50" s="2">
        <f t="shared" si="13"/>
        <v>15946.683780371339</v>
      </c>
      <c r="X50" s="2"/>
      <c r="Y50" s="2">
        <f t="shared" si="47"/>
        <v>68239.457304757787</v>
      </c>
      <c r="Z50" s="2">
        <f t="shared" si="48"/>
        <v>188353.45229354216</v>
      </c>
      <c r="AA50" s="2">
        <f t="shared" si="34"/>
        <v>34415.424201116955</v>
      </c>
      <c r="AB50" s="83">
        <f t="shared" si="35"/>
        <v>0.22356674713576138</v>
      </c>
      <c r="AC50" s="7">
        <f t="shared" si="36"/>
        <v>1.2235667471357614</v>
      </c>
      <c r="AD50" s="2">
        <f t="shared" si="49"/>
        <v>0</v>
      </c>
      <c r="AE50" s="2"/>
      <c r="AG50">
        <f t="shared" si="14"/>
        <v>1995</v>
      </c>
      <c r="AH50" s="6">
        <f t="shared" si="6"/>
        <v>0.24062286510800415</v>
      </c>
      <c r="AI50" s="6">
        <f t="shared" si="7"/>
        <v>0.31241882295233464</v>
      </c>
      <c r="AJ50" s="7"/>
      <c r="AK50" s="7"/>
      <c r="AL50" s="6">
        <f t="shared" si="8"/>
        <v>8.4663612937229307E-2</v>
      </c>
      <c r="AM50" s="7"/>
      <c r="AN50" s="6">
        <f t="shared" si="15"/>
        <v>0.362294699002432</v>
      </c>
      <c r="AO50" s="6">
        <f t="shared" si="37"/>
        <v>1.0000000000000002</v>
      </c>
      <c r="AP50" s="7">
        <f t="shared" si="38"/>
        <v>0.63770530099756817</v>
      </c>
      <c r="AQ50" s="7">
        <f t="shared" si="39"/>
        <v>0</v>
      </c>
      <c r="AR50" s="7"/>
      <c r="AS50">
        <f t="shared" si="40"/>
        <v>1995</v>
      </c>
      <c r="AT50" s="2">
        <f t="shared" si="16"/>
        <v>45322.14734385589</v>
      </c>
      <c r="AU50" s="2">
        <f t="shared" si="17"/>
        <v>58845.163864557158</v>
      </c>
      <c r="AV50" s="2"/>
      <c r="AW50" s="2"/>
      <c r="AX50" s="2">
        <f t="shared" si="18"/>
        <v>15946.683780371339</v>
      </c>
      <c r="AY50" s="2"/>
      <c r="AZ50" s="2">
        <f t="shared" si="19"/>
        <v>68239.457304757787</v>
      </c>
      <c r="BA50" s="2">
        <f t="shared" si="20"/>
        <v>188353.45229354216</v>
      </c>
      <c r="BB50" s="2">
        <f t="shared" si="21"/>
        <v>0</v>
      </c>
      <c r="BC50" s="2"/>
      <c r="BM50" s="24"/>
      <c r="BN50">
        <f t="shared" si="5"/>
        <v>1995</v>
      </c>
      <c r="BO50" s="1" t="b">
        <f t="shared" si="41"/>
        <v>1</v>
      </c>
      <c r="BP50" s="1" t="b">
        <f t="shared" si="42"/>
        <v>1</v>
      </c>
      <c r="BS50" s="1" t="b">
        <f t="shared" si="22"/>
        <v>0</v>
      </c>
      <c r="BU50" s="1" t="b">
        <f t="shared" si="43"/>
        <v>0</v>
      </c>
      <c r="BV50" s="1" t="b">
        <f t="shared" si="44"/>
        <v>1</v>
      </c>
      <c r="CH50" s="2"/>
    </row>
    <row r="51" spans="1:86" x14ac:dyDescent="0.2">
      <c r="A51">
        <f t="shared" si="9"/>
        <v>1996</v>
      </c>
      <c r="B51" s="2">
        <f t="shared" si="23"/>
        <v>55691.854656130119</v>
      </c>
      <c r="C51" s="2">
        <f t="shared" si="24"/>
        <v>69229.569931735561</v>
      </c>
      <c r="D51" s="2"/>
      <c r="E51" s="2"/>
      <c r="F51" s="2">
        <f t="shared" si="25"/>
        <v>17576.275395887486</v>
      </c>
      <c r="G51" s="2"/>
      <c r="H51" s="2">
        <f t="shared" si="26"/>
        <v>70682.429876268114</v>
      </c>
      <c r="I51" s="2">
        <f t="shared" si="45"/>
        <v>213180.12986002129</v>
      </c>
      <c r="J51" s="2">
        <f t="shared" si="27"/>
        <v>19014.615732962091</v>
      </c>
      <c r="K51" s="83">
        <f t="shared" si="28"/>
        <v>9.7929932709467621E-2</v>
      </c>
      <c r="L51" s="7">
        <f t="shared" si="29"/>
        <v>1.0979299327094676</v>
      </c>
      <c r="N51">
        <f t="shared" si="30"/>
        <v>1996</v>
      </c>
      <c r="O51" s="2">
        <f t="shared" si="31"/>
        <v>6009.6719358566106</v>
      </c>
      <c r="P51" s="2"/>
      <c r="Q51" s="2"/>
      <c r="R51">
        <f t="shared" si="32"/>
        <v>1996</v>
      </c>
      <c r="S51" s="2">
        <f t="shared" si="46"/>
        <v>54189.436672165968</v>
      </c>
      <c r="T51" s="2">
        <f t="shared" si="46"/>
        <v>67727.151947771403</v>
      </c>
      <c r="U51" s="2"/>
      <c r="V51" s="2"/>
      <c r="W51" s="2">
        <f t="shared" si="13"/>
        <v>16073.857411923333</v>
      </c>
      <c r="X51" s="2"/>
      <c r="Y51" s="2">
        <f t="shared" si="47"/>
        <v>69180.011892303955</v>
      </c>
      <c r="Z51" s="2">
        <f t="shared" si="48"/>
        <v>207170.45792416466</v>
      </c>
      <c r="AA51" s="2">
        <f t="shared" si="34"/>
        <v>18817.005630622501</v>
      </c>
      <c r="AB51" s="83">
        <f t="shared" si="35"/>
        <v>9.9902632001121316E-2</v>
      </c>
      <c r="AC51" s="7">
        <f t="shared" si="36"/>
        <v>1.0999026320011214</v>
      </c>
      <c r="AD51" s="2">
        <f t="shared" si="49"/>
        <v>0</v>
      </c>
      <c r="AE51" s="2"/>
      <c r="AG51">
        <f t="shared" si="14"/>
        <v>1996</v>
      </c>
      <c r="AH51" s="6">
        <f t="shared" si="6"/>
        <v>0.26156932419390688</v>
      </c>
      <c r="AI51" s="6">
        <f t="shared" si="7"/>
        <v>0.32691510472290947</v>
      </c>
      <c r="AJ51" s="7"/>
      <c r="AK51" s="7"/>
      <c r="AL51" s="6">
        <f t="shared" si="8"/>
        <v>7.7587594162712201E-2</v>
      </c>
      <c r="AM51" s="6"/>
      <c r="AN51" s="6">
        <f t="shared" si="15"/>
        <v>0.33392797692047144</v>
      </c>
      <c r="AO51" s="6">
        <f t="shared" si="37"/>
        <v>1</v>
      </c>
      <c r="AP51" s="7">
        <f t="shared" si="38"/>
        <v>0.66607202307952851</v>
      </c>
      <c r="AQ51" s="7">
        <f t="shared" si="39"/>
        <v>0</v>
      </c>
      <c r="AR51" s="7"/>
      <c r="AS51">
        <f t="shared" si="40"/>
        <v>1996</v>
      </c>
      <c r="AT51" s="2">
        <f t="shared" si="16"/>
        <v>54189.436672165968</v>
      </c>
      <c r="AU51" s="2">
        <f t="shared" si="17"/>
        <v>67727.151947771403</v>
      </c>
      <c r="AV51" s="2"/>
      <c r="AW51" s="2"/>
      <c r="AX51" s="2">
        <f t="shared" si="18"/>
        <v>16073.857411923333</v>
      </c>
      <c r="AY51" s="2"/>
      <c r="AZ51" s="2">
        <f t="shared" si="19"/>
        <v>69180.011892303955</v>
      </c>
      <c r="BA51" s="2">
        <f t="shared" si="20"/>
        <v>207170.45792416466</v>
      </c>
      <c r="BB51" s="2">
        <f t="shared" si="21"/>
        <v>0</v>
      </c>
      <c r="BC51" s="2"/>
      <c r="BM51" s="24"/>
      <c r="BN51">
        <f t="shared" si="5"/>
        <v>1996</v>
      </c>
      <c r="BO51" s="1" t="b">
        <f t="shared" si="41"/>
        <v>0</v>
      </c>
      <c r="BP51" s="1" t="b">
        <f t="shared" si="42"/>
        <v>1</v>
      </c>
      <c r="BS51" s="1" t="b">
        <f t="shared" si="22"/>
        <v>0</v>
      </c>
      <c r="BU51" s="28" t="b">
        <f t="shared" si="43"/>
        <v>1</v>
      </c>
      <c r="BV51" s="1" t="b">
        <f t="shared" si="44"/>
        <v>1</v>
      </c>
      <c r="CH51" s="2"/>
    </row>
    <row r="52" spans="1:86" x14ac:dyDescent="0.2">
      <c r="A52">
        <f t="shared" si="9"/>
        <v>1997</v>
      </c>
      <c r="B52" s="2">
        <f t="shared" si="23"/>
        <v>72174.910703657864</v>
      </c>
      <c r="C52" s="2">
        <f t="shared" si="24"/>
        <v>85801.496988073151</v>
      </c>
      <c r="D52" s="2"/>
      <c r="E52" s="2"/>
      <c r="F52" s="2"/>
      <c r="G52" s="2">
        <f>AX51*(1+(G13/100))</f>
        <v>15949.285016980926</v>
      </c>
      <c r="H52" s="2">
        <f t="shared" si="26"/>
        <v>75710.60501493745</v>
      </c>
      <c r="I52" s="2">
        <f t="shared" si="45"/>
        <v>249636.29772364936</v>
      </c>
      <c r="J52" s="2">
        <f t="shared" si="27"/>
        <v>36456.16786362807</v>
      </c>
      <c r="K52" s="83">
        <f t="shared" si="28"/>
        <v>0.17101109698903919</v>
      </c>
      <c r="L52" s="7">
        <f t="shared" si="29"/>
        <v>1.1710110969890393</v>
      </c>
      <c r="N52">
        <f t="shared" si="30"/>
        <v>1997</v>
      </c>
      <c r="O52" s="2">
        <f t="shared" si="31"/>
        <v>6111.8363587661725</v>
      </c>
      <c r="P52" s="2"/>
      <c r="Q52" s="2"/>
      <c r="R52">
        <f t="shared" si="32"/>
        <v>1997</v>
      </c>
      <c r="S52" s="2">
        <f t="shared" si="46"/>
        <v>70646.951613966317</v>
      </c>
      <c r="T52" s="2">
        <f t="shared" si="46"/>
        <v>84273.537898381604</v>
      </c>
      <c r="U52" s="2"/>
      <c r="V52" s="2"/>
      <c r="W52" s="2"/>
      <c r="X52" s="2">
        <f>G52-($O52/4)</f>
        <v>14421.325927289383</v>
      </c>
      <c r="Y52" s="2">
        <f t="shared" si="47"/>
        <v>74182.645925245903</v>
      </c>
      <c r="Z52" s="2">
        <f t="shared" si="48"/>
        <v>243524.46136488317</v>
      </c>
      <c r="AA52" s="2">
        <f t="shared" si="34"/>
        <v>36354.003440718516</v>
      </c>
      <c r="AB52" s="83">
        <f t="shared" si="35"/>
        <v>0.17547870388946094</v>
      </c>
      <c r="AC52" s="7">
        <f t="shared" si="36"/>
        <v>1.175478703889461</v>
      </c>
      <c r="AD52" s="2">
        <f t="shared" si="49"/>
        <v>0</v>
      </c>
      <c r="AE52" s="2"/>
      <c r="AG52">
        <f t="shared" si="14"/>
        <v>1997</v>
      </c>
      <c r="AH52" s="6">
        <f t="shared" si="6"/>
        <v>0.29010207524127507</v>
      </c>
      <c r="AI52" s="6">
        <f t="shared" si="7"/>
        <v>0.34605779405507414</v>
      </c>
      <c r="AJ52" s="7"/>
      <c r="AK52" s="7"/>
      <c r="AL52" s="6"/>
      <c r="AM52" s="6">
        <f t="shared" si="8"/>
        <v>5.9219208807452364E-2</v>
      </c>
      <c r="AN52" s="6">
        <f t="shared" si="15"/>
        <v>0.30462092189619855</v>
      </c>
      <c r="AO52" s="6">
        <f t="shared" si="37"/>
        <v>1.0000000000000002</v>
      </c>
      <c r="AP52" s="7">
        <f t="shared" si="38"/>
        <v>0.69537907810380162</v>
      </c>
      <c r="AQ52" s="7">
        <f t="shared" si="39"/>
        <v>0</v>
      </c>
      <c r="AR52" s="7"/>
      <c r="AS52">
        <f t="shared" si="40"/>
        <v>1997</v>
      </c>
      <c r="AT52" s="2">
        <f t="shared" si="16"/>
        <v>70646.951613966317</v>
      </c>
      <c r="AU52" s="2">
        <f t="shared" si="17"/>
        <v>84273.537898381604</v>
      </c>
      <c r="AV52" s="2"/>
      <c r="AW52" s="2"/>
      <c r="AX52" s="2"/>
      <c r="AY52" s="2">
        <f>X52</f>
        <v>14421.325927289383</v>
      </c>
      <c r="AZ52" s="2">
        <f t="shared" si="19"/>
        <v>74182.645925245903</v>
      </c>
      <c r="BA52" s="2">
        <f t="shared" si="20"/>
        <v>243524.46136488317</v>
      </c>
      <c r="BB52" s="2">
        <f t="shared" si="21"/>
        <v>0</v>
      </c>
      <c r="BC52" s="2"/>
      <c r="BM52" s="24"/>
      <c r="BN52">
        <f t="shared" si="5"/>
        <v>1997</v>
      </c>
      <c r="BO52" s="1" t="b">
        <f t="shared" si="41"/>
        <v>0</v>
      </c>
      <c r="BP52" s="1" t="b">
        <f t="shared" si="42"/>
        <v>1</v>
      </c>
      <c r="BS52" s="1"/>
      <c r="BT52" s="1" t="b">
        <f t="shared" ref="BT52:BT59" si="50">AND((X52/$Z52)&gt;0.15,(X52/$Z52)&lt;0.25)</f>
        <v>0</v>
      </c>
      <c r="BU52" s="1" t="b">
        <f t="shared" si="43"/>
        <v>1</v>
      </c>
      <c r="BV52" s="1" t="b">
        <f t="shared" si="44"/>
        <v>1</v>
      </c>
      <c r="CH52" s="2"/>
    </row>
    <row r="53" spans="1:86" x14ac:dyDescent="0.2">
      <c r="A53">
        <f t="shared" si="9"/>
        <v>1998</v>
      </c>
      <c r="B53" s="2">
        <f t="shared" si="23"/>
        <v>90894.367946529062</v>
      </c>
      <c r="C53" s="2">
        <f t="shared" si="24"/>
        <v>91312.906519033422</v>
      </c>
      <c r="D53" s="2"/>
      <c r="E53" s="2"/>
      <c r="F53" s="2"/>
      <c r="G53" s="2">
        <f t="shared" ref="G53:G67" si="51">AY52*(1+(G14/100))</f>
        <v>16671.485411724345</v>
      </c>
      <c r="H53" s="2">
        <f t="shared" si="26"/>
        <v>80547.516945632015</v>
      </c>
      <c r="I53" s="2">
        <f t="shared" si="45"/>
        <v>279426.27682291885</v>
      </c>
      <c r="J53" s="2">
        <f t="shared" si="27"/>
        <v>29789.979099269491</v>
      </c>
      <c r="K53" s="83">
        <f t="shared" si="28"/>
        <v>0.11933352389421904</v>
      </c>
      <c r="L53" s="7">
        <f t="shared" si="29"/>
        <v>1.119333523894219</v>
      </c>
      <c r="N53">
        <f t="shared" si="30"/>
        <v>1998</v>
      </c>
      <c r="O53" s="2">
        <f t="shared" si="31"/>
        <v>6209.6257405064316</v>
      </c>
      <c r="P53" s="2"/>
      <c r="Q53" s="2"/>
      <c r="R53">
        <f t="shared" si="32"/>
        <v>1998</v>
      </c>
      <c r="S53" s="2">
        <f>B53-($O53/4)</f>
        <v>89341.961511402449</v>
      </c>
      <c r="T53" s="2">
        <f>C53-($O53/4)</f>
        <v>89760.500083906809</v>
      </c>
      <c r="U53" s="2"/>
      <c r="V53" s="2"/>
      <c r="W53" s="2"/>
      <c r="X53" s="2">
        <f>G53-($O53/4)</f>
        <v>15119.078976597737</v>
      </c>
      <c r="Y53" s="2">
        <f>H53-($O53/4)</f>
        <v>78995.110510505401</v>
      </c>
      <c r="Z53" s="2">
        <f t="shared" si="48"/>
        <v>273216.6510824124</v>
      </c>
      <c r="AA53" s="2">
        <f t="shared" si="34"/>
        <v>29692.189717529225</v>
      </c>
      <c r="AB53" s="83">
        <f t="shared" si="35"/>
        <v>0.12192692902845657</v>
      </c>
      <c r="AC53" s="7">
        <f t="shared" si="36"/>
        <v>1.1219269290284566</v>
      </c>
      <c r="AD53" s="2">
        <f t="shared" si="49"/>
        <v>0</v>
      </c>
      <c r="AE53" s="2"/>
      <c r="AG53">
        <f t="shared" si="14"/>
        <v>1998</v>
      </c>
      <c r="AH53" s="6">
        <f t="shared" si="6"/>
        <v>0.32700042679482794</v>
      </c>
      <c r="AI53" s="6">
        <f t="shared" si="7"/>
        <v>0.32853231941867145</v>
      </c>
      <c r="AJ53" s="7"/>
      <c r="AK53" s="7"/>
      <c r="AL53" s="7"/>
      <c r="AM53" s="6">
        <f t="shared" si="8"/>
        <v>5.5337326318509246E-2</v>
      </c>
      <c r="AN53" s="6">
        <f t="shared" si="15"/>
        <v>0.28912992746799138</v>
      </c>
      <c r="AO53" s="6">
        <f t="shared" si="37"/>
        <v>1</v>
      </c>
      <c r="AP53" s="7">
        <f t="shared" si="38"/>
        <v>0.71087007253200873</v>
      </c>
      <c r="AQ53" s="7">
        <f t="shared" si="39"/>
        <v>0</v>
      </c>
      <c r="AR53" s="7"/>
      <c r="AS53">
        <f t="shared" si="40"/>
        <v>1998</v>
      </c>
      <c r="AT53" s="2">
        <f t="shared" si="16"/>
        <v>89341.961511402449</v>
      </c>
      <c r="AU53" s="2">
        <f t="shared" si="17"/>
        <v>89760.500083906809</v>
      </c>
      <c r="AV53" s="2"/>
      <c r="AW53" s="2"/>
      <c r="AX53" s="2"/>
      <c r="AY53" s="2">
        <f>X53</f>
        <v>15119.078976597737</v>
      </c>
      <c r="AZ53" s="2">
        <f t="shared" si="19"/>
        <v>78995.110510505401</v>
      </c>
      <c r="BA53" s="2">
        <f t="shared" si="20"/>
        <v>273216.6510824124</v>
      </c>
      <c r="BB53" s="2">
        <f t="shared" si="21"/>
        <v>0</v>
      </c>
      <c r="BC53" s="2"/>
      <c r="BM53" s="24"/>
      <c r="BN53">
        <f t="shared" si="5"/>
        <v>1998</v>
      </c>
      <c r="BO53" s="28" t="b">
        <f t="shared" si="41"/>
        <v>0</v>
      </c>
      <c r="BP53" s="1" t="b">
        <f t="shared" si="42"/>
        <v>1</v>
      </c>
      <c r="BT53" s="1" t="b">
        <f t="shared" si="50"/>
        <v>0</v>
      </c>
      <c r="BU53" s="1" t="b">
        <f t="shared" si="43"/>
        <v>1</v>
      </c>
      <c r="BV53" s="1" t="b">
        <f t="shared" si="44"/>
        <v>1</v>
      </c>
      <c r="CH53" s="2"/>
    </row>
    <row r="54" spans="1:86" x14ac:dyDescent="0.2">
      <c r="A54">
        <f t="shared" si="9"/>
        <v>1999</v>
      </c>
      <c r="B54" s="2">
        <f t="shared" ref="B54:B73" si="52">AT53*(1+(B15/100))</f>
        <v>108166.31280185496</v>
      </c>
      <c r="C54" s="2"/>
      <c r="D54" s="2">
        <f>($AU53*0.6)*(1+(D15/100))</f>
        <v>62106.546655056292</v>
      </c>
      <c r="E54" s="2">
        <f>($AU53*0.4)*(1+(E15/100))</f>
        <v>44209.918627326791</v>
      </c>
      <c r="F54" s="2"/>
      <c r="G54" s="2">
        <f t="shared" si="51"/>
        <v>19642.556215606015</v>
      </c>
      <c r="H54" s="2">
        <f t="shared" si="26"/>
        <v>78394.747670625555</v>
      </c>
      <c r="I54" s="2">
        <f t="shared" si="45"/>
        <v>312520.08197046962</v>
      </c>
      <c r="J54" s="2">
        <f t="shared" si="27"/>
        <v>33093.805147550767</v>
      </c>
      <c r="K54" s="83">
        <f t="shared" si="28"/>
        <v>0.1184348355631684</v>
      </c>
      <c r="L54" s="7">
        <f t="shared" si="29"/>
        <v>1.1184348355631684</v>
      </c>
      <c r="N54">
        <f t="shared" si="30"/>
        <v>1999</v>
      </c>
      <c r="O54" s="2">
        <f t="shared" si="31"/>
        <v>6377.2856355001049</v>
      </c>
      <c r="P54" s="2"/>
      <c r="Q54" s="2"/>
      <c r="R54">
        <f t="shared" si="32"/>
        <v>1999</v>
      </c>
      <c r="S54" s="2">
        <f>B54-($O54/5)</f>
        <v>106890.85567475494</v>
      </c>
      <c r="T54" s="2"/>
      <c r="U54" s="2">
        <f>D54-($O54/5)</f>
        <v>60831.089527956268</v>
      </c>
      <c r="V54" s="2">
        <f>E54-($O54/5)</f>
        <v>42934.461500226767</v>
      </c>
      <c r="W54" s="2"/>
      <c r="X54" s="2">
        <f>G54-($O54/5)</f>
        <v>18367.099088505995</v>
      </c>
      <c r="Y54" s="2">
        <f>H54-($O54/5)</f>
        <v>77119.290543525538</v>
      </c>
      <c r="Z54" s="2">
        <f t="shared" si="48"/>
        <v>306142.79633496946</v>
      </c>
      <c r="AA54" s="2">
        <f t="shared" si="34"/>
        <v>32926.145252557064</v>
      </c>
      <c r="AB54" s="83">
        <f t="shared" si="35"/>
        <v>0.12051295234793469</v>
      </c>
      <c r="AC54" s="7">
        <f t="shared" si="36"/>
        <v>1.1205129523479347</v>
      </c>
      <c r="AD54" s="2">
        <f t="shared" si="49"/>
        <v>0</v>
      </c>
      <c r="AE54" s="2"/>
      <c r="AG54">
        <f t="shared" si="14"/>
        <v>1999</v>
      </c>
      <c r="AH54" s="6">
        <f t="shared" ref="AH54:AH67" si="53">S54/$Z54</f>
        <v>0.34915358765391025</v>
      </c>
      <c r="AI54" s="7"/>
      <c r="AJ54" s="6">
        <f t="shared" ref="AJ54:AJ67" si="54">U54/$Z54</f>
        <v>0.19870168514890441</v>
      </c>
      <c r="AK54" s="6">
        <f t="shared" ref="AK54:AK67" si="55">V54/$Z54</f>
        <v>0.14024325254169809</v>
      </c>
      <c r="AL54" s="7"/>
      <c r="AM54" s="6">
        <f t="shared" si="8"/>
        <v>5.9995202593006412E-2</v>
      </c>
      <c r="AN54" s="6">
        <f t="shared" si="15"/>
        <v>0.25190627206248101</v>
      </c>
      <c r="AO54" s="6">
        <f t="shared" si="37"/>
        <v>1.0000000000000002</v>
      </c>
      <c r="AP54" s="7">
        <f t="shared" si="38"/>
        <v>0.74809372793751916</v>
      </c>
      <c r="AQ54" s="7">
        <f t="shared" si="39"/>
        <v>0</v>
      </c>
      <c r="AR54" s="7"/>
      <c r="AS54">
        <f t="shared" si="40"/>
        <v>1999</v>
      </c>
      <c r="AT54" s="2">
        <f>S54</f>
        <v>106890.85567475494</v>
      </c>
      <c r="AU54" s="2"/>
      <c r="AV54" s="2">
        <f t="shared" ref="AV54:AW56" si="56">U54</f>
        <v>60831.089527956268</v>
      </c>
      <c r="AW54" s="2">
        <f t="shared" si="56"/>
        <v>42934.461500226767</v>
      </c>
      <c r="AX54" s="2"/>
      <c r="AY54" s="2">
        <f>X54</f>
        <v>18367.099088505995</v>
      </c>
      <c r="AZ54" s="2">
        <f t="shared" si="19"/>
        <v>77119.290543525538</v>
      </c>
      <c r="BA54" s="2">
        <f t="shared" si="20"/>
        <v>306142.79633496946</v>
      </c>
      <c r="BB54" s="2">
        <f t="shared" si="21"/>
        <v>0</v>
      </c>
      <c r="BC54" s="2"/>
      <c r="BM54" s="24"/>
      <c r="BN54">
        <f t="shared" si="5"/>
        <v>1999</v>
      </c>
      <c r="BO54" s="1" t="b">
        <f t="shared" si="41"/>
        <v>0</v>
      </c>
      <c r="BQ54" s="1" t="b">
        <f>AND((U54/$Z54)&gt;0.15,(U54/$Z54)&lt;0.25)</f>
        <v>1</v>
      </c>
      <c r="BR54" s="1" t="b">
        <f>AND((V54/$Z54)&gt;0.05,(V54/$Z54)&lt;0.15)</f>
        <v>1</v>
      </c>
      <c r="BT54" s="1" t="b">
        <f t="shared" si="50"/>
        <v>0</v>
      </c>
      <c r="BU54" s="1" t="b">
        <f t="shared" si="43"/>
        <v>1</v>
      </c>
      <c r="BV54" s="1" t="b">
        <f t="shared" si="44"/>
        <v>1</v>
      </c>
      <c r="CH54" s="2"/>
    </row>
    <row r="55" spans="1:86" x14ac:dyDescent="0.2">
      <c r="A55">
        <f t="shared" si="9"/>
        <v>2000</v>
      </c>
      <c r="B55" s="2">
        <f t="shared" si="52"/>
        <v>97206.54415062214</v>
      </c>
      <c r="C55" s="2"/>
      <c r="D55" s="2">
        <f t="shared" ref="D55:D67" si="57">AV54*(1+(D16/100))</f>
        <v>71840.300110725788</v>
      </c>
      <c r="E55" s="2">
        <f t="shared" ref="E55:E67" si="58">AW54*(1+(E16/100))</f>
        <v>41790.258101245723</v>
      </c>
      <c r="F55" s="2"/>
      <c r="G55" s="2">
        <f t="shared" si="51"/>
        <v>15499.260236826669</v>
      </c>
      <c r="H55" s="2">
        <f t="shared" si="26"/>
        <v>85903.177736433106</v>
      </c>
      <c r="I55" s="2">
        <f t="shared" si="45"/>
        <v>312239.54033585341</v>
      </c>
      <c r="J55" s="2">
        <f t="shared" si="27"/>
        <v>-280.54163461620919</v>
      </c>
      <c r="K55" s="83">
        <f t="shared" si="28"/>
        <v>-8.9767554407181387E-4</v>
      </c>
      <c r="L55" s="7">
        <f t="shared" si="29"/>
        <v>0.99910232445592817</v>
      </c>
      <c r="N55">
        <f t="shared" si="30"/>
        <v>2000</v>
      </c>
      <c r="O55" s="2">
        <f t="shared" si="31"/>
        <v>6594.1133471071089</v>
      </c>
      <c r="P55" s="2"/>
      <c r="Q55" s="2"/>
      <c r="R55">
        <f t="shared" si="32"/>
        <v>2000</v>
      </c>
      <c r="S55" s="2">
        <f t="shared" ref="S55:S67" si="59">B55-($O55/5)</f>
        <v>95887.721481200715</v>
      </c>
      <c r="T55" s="2"/>
      <c r="U55" s="2">
        <f t="shared" ref="U55:V67" si="60">D55-($O55/5)</f>
        <v>70521.477441304363</v>
      </c>
      <c r="V55" s="2">
        <f t="shared" si="60"/>
        <v>40471.435431824299</v>
      </c>
      <c r="W55" s="2"/>
      <c r="X55" s="2">
        <f t="shared" ref="X55:Y67" si="61">G55-($O55/5)</f>
        <v>14180.437567405246</v>
      </c>
      <c r="Y55" s="2">
        <f t="shared" si="61"/>
        <v>84584.355067011682</v>
      </c>
      <c r="Z55" s="2">
        <f t="shared" si="48"/>
        <v>305645.42698874633</v>
      </c>
      <c r="AA55" s="2">
        <f t="shared" si="34"/>
        <v>-497.36934622313129</v>
      </c>
      <c r="AB55" s="83">
        <f t="shared" si="35"/>
        <v>-1.6246318782524257E-3</v>
      </c>
      <c r="AC55" s="7">
        <f t="shared" si="36"/>
        <v>0.99837536812174754</v>
      </c>
      <c r="AD55" s="2">
        <f t="shared" si="49"/>
        <v>0</v>
      </c>
      <c r="AE55" s="2"/>
      <c r="AG55">
        <f t="shared" si="14"/>
        <v>2000</v>
      </c>
      <c r="AH55" s="6">
        <f t="shared" si="53"/>
        <v>0.31372208779924338</v>
      </c>
      <c r="AI55" s="7"/>
      <c r="AJ55" s="6">
        <f t="shared" si="54"/>
        <v>0.23072969923381487</v>
      </c>
      <c r="AK55" s="6">
        <f t="shared" si="55"/>
        <v>0.13241302456429171</v>
      </c>
      <c r="AL55" s="7"/>
      <c r="AM55" s="6">
        <f t="shared" si="8"/>
        <v>4.6395058833736E-2</v>
      </c>
      <c r="AN55" s="6">
        <f t="shared" si="15"/>
        <v>0.27674012956891392</v>
      </c>
      <c r="AO55" s="6">
        <f t="shared" si="37"/>
        <v>0.99999999999999989</v>
      </c>
      <c r="AP55" s="7">
        <f t="shared" si="38"/>
        <v>0.72325987043108597</v>
      </c>
      <c r="AQ55" s="7">
        <f t="shared" si="39"/>
        <v>0</v>
      </c>
      <c r="AR55" s="7"/>
      <c r="AS55">
        <f t="shared" si="40"/>
        <v>2000</v>
      </c>
      <c r="AT55" s="2">
        <f>S55</f>
        <v>95887.721481200715</v>
      </c>
      <c r="AU55" s="2"/>
      <c r="AV55" s="2">
        <f t="shared" si="56"/>
        <v>70521.477441304363</v>
      </c>
      <c r="AW55" s="2">
        <f t="shared" si="56"/>
        <v>40471.435431824299</v>
      </c>
      <c r="AX55" s="2"/>
      <c r="AY55" s="2">
        <f>X55</f>
        <v>14180.437567405246</v>
      </c>
      <c r="AZ55" s="2">
        <f t="shared" si="19"/>
        <v>84584.355067011682</v>
      </c>
      <c r="BA55" s="2">
        <f t="shared" si="20"/>
        <v>305645.42698874633</v>
      </c>
      <c r="BB55" s="2">
        <f t="shared" si="21"/>
        <v>0</v>
      </c>
      <c r="BC55" s="2"/>
      <c r="BM55" s="24"/>
      <c r="BN55">
        <f t="shared" si="5"/>
        <v>2000</v>
      </c>
      <c r="BO55" s="1" t="b">
        <f t="shared" si="41"/>
        <v>0</v>
      </c>
      <c r="BQ55" s="1" t="b">
        <f t="shared" ref="BQ55:BQ69" si="62">AND((U55/$Z55)&gt;0.15,(U55/$Z55)&lt;0.25)</f>
        <v>1</v>
      </c>
      <c r="BR55" s="1" t="b">
        <f t="shared" ref="BR55:BR69" si="63">AND((V55/$Z55)&gt;0.05,(V55/$Z55)&lt;0.15)</f>
        <v>1</v>
      </c>
      <c r="BT55" s="1" t="b">
        <f t="shared" si="50"/>
        <v>0</v>
      </c>
      <c r="BU55" s="1" t="b">
        <f t="shared" si="43"/>
        <v>1</v>
      </c>
      <c r="BV55" s="1" t="b">
        <f t="shared" si="44"/>
        <v>1</v>
      </c>
      <c r="CH55" s="2"/>
    </row>
    <row r="56" spans="1:86" x14ac:dyDescent="0.2">
      <c r="A56">
        <f t="shared" si="9"/>
        <v>2001</v>
      </c>
      <c r="B56" s="2">
        <f t="shared" si="52"/>
        <v>84362.017359160396</v>
      </c>
      <c r="C56" s="2"/>
      <c r="D56" s="2">
        <f t="shared" si="57"/>
        <v>70169.575268872257</v>
      </c>
      <c r="E56" s="2">
        <f t="shared" si="58"/>
        <v>41726.049930210851</v>
      </c>
      <c r="F56" s="2"/>
      <c r="G56" s="2">
        <f t="shared" si="51"/>
        <v>11322.653984446068</v>
      </c>
      <c r="H56" s="2">
        <f t="shared" si="26"/>
        <v>91714.816199160763</v>
      </c>
      <c r="I56" s="2">
        <f t="shared" si="45"/>
        <v>299295.11274185037</v>
      </c>
      <c r="J56" s="2">
        <f t="shared" si="27"/>
        <v>-12944.427594003035</v>
      </c>
      <c r="K56" s="83">
        <f t="shared" si="28"/>
        <v>-4.1456721272647448E-2</v>
      </c>
      <c r="L56" s="7">
        <f t="shared" si="29"/>
        <v>0.95854327872735257</v>
      </c>
      <c r="N56">
        <f t="shared" si="30"/>
        <v>2001</v>
      </c>
      <c r="O56" s="2">
        <f t="shared" si="31"/>
        <v>6699.6191606608227</v>
      </c>
      <c r="P56" s="2"/>
      <c r="Q56" s="2"/>
      <c r="R56">
        <f t="shared" si="32"/>
        <v>2001</v>
      </c>
      <c r="S56" s="2">
        <f t="shared" si="59"/>
        <v>83022.093527028235</v>
      </c>
      <c r="T56" s="2"/>
      <c r="U56" s="2">
        <f t="shared" si="60"/>
        <v>68829.651436740096</v>
      </c>
      <c r="V56" s="2">
        <f t="shared" si="60"/>
        <v>40386.12609807869</v>
      </c>
      <c r="W56" s="2"/>
      <c r="X56" s="2">
        <f t="shared" si="61"/>
        <v>9982.7301523139031</v>
      </c>
      <c r="Y56" s="2">
        <f t="shared" si="61"/>
        <v>90374.892367028602</v>
      </c>
      <c r="Z56" s="2">
        <f t="shared" si="48"/>
        <v>292595.49358118954</v>
      </c>
      <c r="AA56" s="2">
        <f t="shared" si="34"/>
        <v>-13049.933407556789</v>
      </c>
      <c r="AB56" s="83">
        <f t="shared" si="35"/>
        <v>-4.2696314929774097E-2</v>
      </c>
      <c r="AC56" s="7">
        <f t="shared" si="36"/>
        <v>0.9573036850702259</v>
      </c>
      <c r="AD56" s="2">
        <f t="shared" si="49"/>
        <v>0</v>
      </c>
      <c r="AE56" s="2"/>
      <c r="AG56">
        <f t="shared" si="14"/>
        <v>2001</v>
      </c>
      <c r="AH56" s="6">
        <f t="shared" si="53"/>
        <v>0.28374358234601871</v>
      </c>
      <c r="AI56" s="7"/>
      <c r="AJ56" s="6">
        <f t="shared" si="54"/>
        <v>0.23523824852634379</v>
      </c>
      <c r="AK56" s="6">
        <f t="shared" si="55"/>
        <v>0.13802716372619842</v>
      </c>
      <c r="AL56" s="7"/>
      <c r="AM56" s="6">
        <f t="shared" si="8"/>
        <v>3.4117853389098389E-2</v>
      </c>
      <c r="AN56" s="6">
        <f t="shared" si="15"/>
        <v>0.30887315201234067</v>
      </c>
      <c r="AO56" s="6">
        <f t="shared" si="37"/>
        <v>0.99999999999999989</v>
      </c>
      <c r="AP56" s="7">
        <f t="shared" si="38"/>
        <v>0.69112684798765922</v>
      </c>
      <c r="AQ56" s="7">
        <f t="shared" si="39"/>
        <v>0</v>
      </c>
      <c r="AR56" s="7"/>
      <c r="AS56">
        <f t="shared" si="40"/>
        <v>2001</v>
      </c>
      <c r="AT56" s="2">
        <f>S56</f>
        <v>83022.093527028235</v>
      </c>
      <c r="AU56" s="2"/>
      <c r="AV56" s="2">
        <f t="shared" si="56"/>
        <v>68829.651436740096</v>
      </c>
      <c r="AW56" s="2">
        <f t="shared" si="56"/>
        <v>40386.12609807869</v>
      </c>
      <c r="AX56" s="2"/>
      <c r="AY56" s="2">
        <f>X56</f>
        <v>9982.7301523139031</v>
      </c>
      <c r="AZ56" s="2">
        <f t="shared" si="19"/>
        <v>90374.892367028602</v>
      </c>
      <c r="BA56" s="2">
        <f t="shared" si="20"/>
        <v>292595.49358118954</v>
      </c>
      <c r="BB56" s="2">
        <f t="shared" si="21"/>
        <v>0</v>
      </c>
      <c r="BC56" s="2"/>
      <c r="BM56" s="24"/>
      <c r="BN56">
        <f t="shared" si="5"/>
        <v>2001</v>
      </c>
      <c r="BO56" s="1" t="b">
        <f t="shared" si="41"/>
        <v>0</v>
      </c>
      <c r="BQ56" s="1" t="b">
        <f t="shared" si="62"/>
        <v>1</v>
      </c>
      <c r="BR56" s="1" t="b">
        <f t="shared" si="63"/>
        <v>1</v>
      </c>
      <c r="BT56" s="1" t="b">
        <f t="shared" si="50"/>
        <v>0</v>
      </c>
      <c r="BU56" s="1" t="b">
        <f t="shared" si="43"/>
        <v>1</v>
      </c>
      <c r="BV56" s="1" t="b">
        <f t="shared" si="44"/>
        <v>1</v>
      </c>
      <c r="CH56" s="2"/>
    </row>
    <row r="57" spans="1:86" x14ac:dyDescent="0.2">
      <c r="A57">
        <f t="shared" si="9"/>
        <v>2002</v>
      </c>
      <c r="B57" s="2">
        <f t="shared" si="52"/>
        <v>64632.699810791477</v>
      </c>
      <c r="C57" s="2"/>
      <c r="D57" s="2">
        <f t="shared" si="57"/>
        <v>58775.015954861105</v>
      </c>
      <c r="E57" s="2">
        <f t="shared" si="58"/>
        <v>32300.015930721376</v>
      </c>
      <c r="F57" s="2"/>
      <c r="G57" s="2">
        <f t="shared" si="51"/>
        <v>8477.0349634403974</v>
      </c>
      <c r="H57" s="2">
        <f t="shared" si="26"/>
        <v>97839.858476545167</v>
      </c>
      <c r="I57" s="2">
        <f t="shared" si="45"/>
        <v>262024.62513635951</v>
      </c>
      <c r="J57" s="2">
        <f t="shared" si="27"/>
        <v>-37270.487605490867</v>
      </c>
      <c r="K57" s="83">
        <f t="shared" si="28"/>
        <v>-0.12452755163308533</v>
      </c>
      <c r="L57" s="7">
        <f t="shared" si="29"/>
        <v>0.87547244836691462</v>
      </c>
      <c r="N57">
        <f t="shared" si="30"/>
        <v>2002</v>
      </c>
      <c r="O57" s="2">
        <f t="shared" si="31"/>
        <v>6867.1096396773428</v>
      </c>
      <c r="P57" s="2"/>
      <c r="Q57" s="2"/>
      <c r="R57">
        <f t="shared" si="32"/>
        <v>2002</v>
      </c>
      <c r="S57" s="2">
        <f t="shared" si="59"/>
        <v>63259.277882856011</v>
      </c>
      <c r="T57" s="2"/>
      <c r="U57" s="2">
        <f t="shared" si="60"/>
        <v>57401.594026925639</v>
      </c>
      <c r="V57" s="2">
        <f t="shared" si="60"/>
        <v>30926.594002785907</v>
      </c>
      <c r="W57" s="2"/>
      <c r="X57" s="2">
        <f t="shared" si="61"/>
        <v>7103.613035504929</v>
      </c>
      <c r="Y57" s="2">
        <f t="shared" si="61"/>
        <v>96466.436548609694</v>
      </c>
      <c r="Z57" s="2">
        <f t="shared" si="48"/>
        <v>255157.5154966822</v>
      </c>
      <c r="AA57" s="2">
        <f t="shared" si="34"/>
        <v>-37437.97808450734</v>
      </c>
      <c r="AB57" s="83">
        <f t="shared" si="35"/>
        <v>-0.12795131471879292</v>
      </c>
      <c r="AC57" s="7">
        <f t="shared" si="36"/>
        <v>0.87204868528120705</v>
      </c>
      <c r="AD57" s="2">
        <f t="shared" si="49"/>
        <v>0</v>
      </c>
      <c r="AE57" s="2"/>
      <c r="AG57">
        <f t="shared" si="14"/>
        <v>2002</v>
      </c>
      <c r="AH57" s="6">
        <f t="shared" si="53"/>
        <v>0.24792245589833928</v>
      </c>
      <c r="AI57" s="7"/>
      <c r="AJ57" s="6">
        <f t="shared" si="54"/>
        <v>0.22496532745739181</v>
      </c>
      <c r="AK57" s="6">
        <f t="shared" si="55"/>
        <v>0.12120589096733089</v>
      </c>
      <c r="AL57" s="7"/>
      <c r="AM57" s="6">
        <f t="shared" si="8"/>
        <v>2.7840108968286679E-2</v>
      </c>
      <c r="AN57" s="6">
        <f t="shared" si="15"/>
        <v>0.37806621670865126</v>
      </c>
      <c r="AO57" s="6">
        <f t="shared" si="37"/>
        <v>1</v>
      </c>
      <c r="AP57" s="7">
        <f t="shared" si="38"/>
        <v>0.62193378329134874</v>
      </c>
      <c r="AQ57" s="7">
        <f t="shared" si="39"/>
        <v>0</v>
      </c>
      <c r="AR57" s="7"/>
      <c r="AS57">
        <f t="shared" si="40"/>
        <v>2002</v>
      </c>
      <c r="AT57" s="40">
        <v>0</v>
      </c>
      <c r="AU57" s="40"/>
      <c r="AV57" s="40">
        <v>0</v>
      </c>
      <c r="AW57" s="40">
        <v>0</v>
      </c>
      <c r="AX57" s="40"/>
      <c r="AY57" s="40">
        <v>0</v>
      </c>
      <c r="AZ57" s="40">
        <f>Z57</f>
        <v>255157.5154966822</v>
      </c>
      <c r="BA57" s="2">
        <f t="shared" ref="BA57:BA65" si="64">Z57</f>
        <v>255157.5154966822</v>
      </c>
      <c r="BB57" s="2">
        <f t="shared" si="21"/>
        <v>0</v>
      </c>
      <c r="BC57" s="2"/>
      <c r="BM57" s="24"/>
      <c r="BN57">
        <f t="shared" si="5"/>
        <v>2002</v>
      </c>
      <c r="BO57" s="28" t="b">
        <f t="shared" si="41"/>
        <v>1</v>
      </c>
      <c r="BQ57" s="1" t="b">
        <f t="shared" si="62"/>
        <v>1</v>
      </c>
      <c r="BR57" s="1" t="b">
        <f t="shared" si="63"/>
        <v>1</v>
      </c>
      <c r="BT57" s="28" t="b">
        <f t="shared" si="50"/>
        <v>0</v>
      </c>
      <c r="BU57" s="28" t="b">
        <f t="shared" si="43"/>
        <v>0</v>
      </c>
      <c r="BV57" s="1" t="b">
        <f t="shared" si="44"/>
        <v>1</v>
      </c>
      <c r="CH57" s="2"/>
    </row>
    <row r="58" spans="1:86" x14ac:dyDescent="0.2">
      <c r="A58">
        <f t="shared" si="9"/>
        <v>2003</v>
      </c>
      <c r="B58" s="2">
        <f t="shared" si="52"/>
        <v>0</v>
      </c>
      <c r="C58" s="2"/>
      <c r="D58" s="2">
        <f t="shared" si="57"/>
        <v>0</v>
      </c>
      <c r="E58" s="2">
        <f t="shared" si="58"/>
        <v>0</v>
      </c>
      <c r="F58" s="2"/>
      <c r="G58" s="2">
        <f t="shared" si="51"/>
        <v>0</v>
      </c>
      <c r="H58" s="2">
        <f t="shared" si="26"/>
        <v>265287.26886190049</v>
      </c>
      <c r="I58" s="2">
        <f t="shared" si="45"/>
        <v>265287.26886190049</v>
      </c>
      <c r="J58" s="2">
        <f t="shared" si="27"/>
        <v>3262.6437255409837</v>
      </c>
      <c r="K58" s="83">
        <f t="shared" si="28"/>
        <v>1.245166832637612E-2</v>
      </c>
      <c r="L58" s="7">
        <f t="shared" si="29"/>
        <v>1.012451668326376</v>
      </c>
      <c r="N58">
        <f t="shared" si="30"/>
        <v>2003</v>
      </c>
      <c r="O58" s="2">
        <f t="shared" si="31"/>
        <v>7004.4518324708897</v>
      </c>
      <c r="P58" s="2"/>
      <c r="Q58" s="2"/>
      <c r="R58">
        <f t="shared" si="32"/>
        <v>2003</v>
      </c>
      <c r="S58" s="40">
        <v>0</v>
      </c>
      <c r="T58" s="40"/>
      <c r="U58" s="40">
        <v>0</v>
      </c>
      <c r="V58" s="40">
        <v>0</v>
      </c>
      <c r="W58" s="40"/>
      <c r="X58" s="40">
        <v>0</v>
      </c>
      <c r="Y58" s="40">
        <f>H58-($O58)</f>
        <v>258282.8170294296</v>
      </c>
      <c r="Z58" s="2">
        <f t="shared" si="48"/>
        <v>258282.8170294296</v>
      </c>
      <c r="AA58" s="2">
        <f t="shared" si="34"/>
        <v>3125.3015327473986</v>
      </c>
      <c r="AB58" s="83">
        <f t="shared" si="35"/>
        <v>1.2248518436401051E-2</v>
      </c>
      <c r="AC58" s="7">
        <f t="shared" si="36"/>
        <v>1.012248518436401</v>
      </c>
      <c r="AD58" s="2">
        <f t="shared" si="49"/>
        <v>0</v>
      </c>
      <c r="AE58" s="2"/>
      <c r="AG58">
        <f t="shared" si="14"/>
        <v>2003</v>
      </c>
      <c r="AH58" s="38">
        <f t="shared" si="53"/>
        <v>0</v>
      </c>
      <c r="AI58" s="61"/>
      <c r="AJ58" s="38">
        <f t="shared" si="54"/>
        <v>0</v>
      </c>
      <c r="AK58" s="38">
        <f t="shared" si="55"/>
        <v>0</v>
      </c>
      <c r="AL58" s="61"/>
      <c r="AM58" s="38">
        <f t="shared" ref="AM58:AM67" si="65">X58/$Z58</f>
        <v>0</v>
      </c>
      <c r="AN58" s="38">
        <f t="shared" si="15"/>
        <v>1</v>
      </c>
      <c r="AO58" s="6">
        <f t="shared" si="37"/>
        <v>1</v>
      </c>
      <c r="AP58" s="7">
        <f t="shared" si="38"/>
        <v>0</v>
      </c>
      <c r="AQ58" s="7">
        <f t="shared" si="39"/>
        <v>0</v>
      </c>
      <c r="AR58" s="7"/>
      <c r="AS58">
        <f t="shared" si="40"/>
        <v>2003</v>
      </c>
      <c r="AT58" s="40">
        <f>$Z58*AT$42</f>
        <v>51656.563405885921</v>
      </c>
      <c r="AU58" s="40"/>
      <c r="AV58" s="40">
        <f>$Z58*AV$42</f>
        <v>38742.422554414436</v>
      </c>
      <c r="AW58" s="40">
        <f>$Z58*AW$42</f>
        <v>25828.281702942961</v>
      </c>
      <c r="AX58" s="40"/>
      <c r="AY58" s="40">
        <f>$Z58*AY$42</f>
        <v>38742.422554414436</v>
      </c>
      <c r="AZ58" s="40">
        <f>$Z58*AZ$42</f>
        <v>103313.12681177184</v>
      </c>
      <c r="BA58" s="2">
        <f t="shared" si="64"/>
        <v>258282.8170294296</v>
      </c>
      <c r="BB58" s="2">
        <f t="shared" si="21"/>
        <v>0</v>
      </c>
      <c r="BC58" s="2"/>
      <c r="BM58" s="24"/>
      <c r="BN58">
        <f t="shared" si="5"/>
        <v>2003</v>
      </c>
      <c r="BO58" s="1" t="b">
        <f t="shared" si="41"/>
        <v>0</v>
      </c>
      <c r="BQ58" s="1" t="b">
        <f t="shared" si="62"/>
        <v>0</v>
      </c>
      <c r="BR58" s="1" t="b">
        <f t="shared" si="63"/>
        <v>0</v>
      </c>
      <c r="BT58" s="1" t="b">
        <f t="shared" si="50"/>
        <v>0</v>
      </c>
      <c r="BU58" s="28" t="b">
        <f t="shared" si="43"/>
        <v>0</v>
      </c>
      <c r="BV58" s="1" t="b">
        <f t="shared" si="44"/>
        <v>1</v>
      </c>
      <c r="CH58" s="2"/>
    </row>
    <row r="59" spans="1:86" x14ac:dyDescent="0.2">
      <c r="A59">
        <f t="shared" si="9"/>
        <v>2004</v>
      </c>
      <c r="B59" s="2">
        <f t="shared" si="52"/>
        <v>57204.478315678069</v>
      </c>
      <c r="C59" s="2"/>
      <c r="D59" s="2">
        <f t="shared" si="57"/>
        <v>46627.667816914407</v>
      </c>
      <c r="E59" s="2">
        <f t="shared" si="58"/>
        <v>30967.334913377523</v>
      </c>
      <c r="F59" s="2"/>
      <c r="G59" s="2">
        <f t="shared" si="51"/>
        <v>46815.181142077767</v>
      </c>
      <c r="H59" s="2">
        <f t="shared" si="26"/>
        <v>107693.60338859097</v>
      </c>
      <c r="I59" s="2">
        <f t="shared" si="45"/>
        <v>289308.26557663875</v>
      </c>
      <c r="J59" s="2">
        <f>I59-I58</f>
        <v>24020.996714738256</v>
      </c>
      <c r="K59" s="83">
        <f>(J59/I58)</f>
        <v>9.0547114521514288E-2</v>
      </c>
      <c r="L59" s="7">
        <f t="shared" si="29"/>
        <v>1.0905471145215142</v>
      </c>
      <c r="N59">
        <f t="shared" si="30"/>
        <v>2004</v>
      </c>
      <c r="O59" s="2">
        <f t="shared" si="31"/>
        <v>7235.5987429424285</v>
      </c>
      <c r="P59" s="2"/>
      <c r="Q59" s="2"/>
      <c r="R59">
        <f t="shared" si="32"/>
        <v>2004</v>
      </c>
      <c r="S59" s="2">
        <f t="shared" si="59"/>
        <v>55757.358567089585</v>
      </c>
      <c r="T59" s="2"/>
      <c r="U59" s="2">
        <f t="shared" si="60"/>
        <v>45180.548068325923</v>
      </c>
      <c r="V59" s="2">
        <f t="shared" si="60"/>
        <v>29520.215164789039</v>
      </c>
      <c r="W59" s="2"/>
      <c r="X59" s="2">
        <f t="shared" si="61"/>
        <v>45368.061393489283</v>
      </c>
      <c r="Y59" s="2">
        <f t="shared" si="61"/>
        <v>106246.48364000248</v>
      </c>
      <c r="Z59" s="2">
        <f t="shared" si="48"/>
        <v>282072.6668336963</v>
      </c>
      <c r="AA59" s="2">
        <f>Z59-Z58</f>
        <v>23789.849804266705</v>
      </c>
      <c r="AB59" s="83">
        <f>(AA59/Z58)</f>
        <v>9.210775257091923E-2</v>
      </c>
      <c r="AC59" s="7">
        <f t="shared" si="36"/>
        <v>1.0921077525709193</v>
      </c>
      <c r="AD59" s="2">
        <f t="shared" si="49"/>
        <v>0</v>
      </c>
      <c r="AE59" s="2"/>
      <c r="AG59">
        <f t="shared" si="14"/>
        <v>2004</v>
      </c>
      <c r="AH59" s="6">
        <f t="shared" si="53"/>
        <v>0.19767019326251439</v>
      </c>
      <c r="AI59" s="7"/>
      <c r="AJ59" s="6">
        <f t="shared" si="54"/>
        <v>0.16017343536147499</v>
      </c>
      <c r="AK59" s="6">
        <f t="shared" si="55"/>
        <v>0.1046546462518238</v>
      </c>
      <c r="AL59" s="7"/>
      <c r="AM59" s="6">
        <f t="shared" si="65"/>
        <v>0.160838204930495</v>
      </c>
      <c r="AN59" s="6">
        <f t="shared" si="15"/>
        <v>0.37666352019369187</v>
      </c>
      <c r="AO59" s="6">
        <f t="shared" si="37"/>
        <v>1</v>
      </c>
      <c r="AP59" s="7">
        <f t="shared" si="38"/>
        <v>0.62333647980630813</v>
      </c>
      <c r="AQ59" s="7">
        <f t="shared" si="39"/>
        <v>0</v>
      </c>
      <c r="AR59" s="7"/>
      <c r="AS59">
        <f t="shared" si="40"/>
        <v>2004</v>
      </c>
      <c r="AT59" s="2">
        <f>S59</f>
        <v>55757.358567089585</v>
      </c>
      <c r="AU59" s="2"/>
      <c r="AV59" s="2">
        <f t="shared" ref="AV59:AW62" si="66">U59</f>
        <v>45180.548068325923</v>
      </c>
      <c r="AW59" s="2">
        <f t="shared" si="66"/>
        <v>29520.215164789039</v>
      </c>
      <c r="AX59" s="2"/>
      <c r="AY59" s="2">
        <f t="shared" ref="AY59:AZ62" si="67">X59</f>
        <v>45368.061393489283</v>
      </c>
      <c r="AZ59" s="2">
        <f t="shared" si="67"/>
        <v>106246.48364000248</v>
      </c>
      <c r="BA59" s="2">
        <f t="shared" si="64"/>
        <v>282072.6668336963</v>
      </c>
      <c r="BB59" s="2">
        <f t="shared" si="21"/>
        <v>0</v>
      </c>
      <c r="BC59" s="2"/>
      <c r="BM59" s="24"/>
      <c r="BN59">
        <f t="shared" si="5"/>
        <v>2004</v>
      </c>
      <c r="BO59" s="1" t="b">
        <f t="shared" si="41"/>
        <v>1</v>
      </c>
      <c r="BQ59" s="1" t="b">
        <f t="shared" si="62"/>
        <v>1</v>
      </c>
      <c r="BR59" s="1" t="b">
        <f t="shared" si="63"/>
        <v>1</v>
      </c>
      <c r="BT59" s="1" t="b">
        <f t="shared" si="50"/>
        <v>1</v>
      </c>
      <c r="BU59" s="1" t="b">
        <f t="shared" si="43"/>
        <v>0</v>
      </c>
      <c r="BV59" s="1" t="b">
        <f t="shared" si="44"/>
        <v>1</v>
      </c>
      <c r="CH59" s="2"/>
    </row>
    <row r="60" spans="1:86" x14ac:dyDescent="0.2">
      <c r="A60">
        <f t="shared" si="9"/>
        <v>2005</v>
      </c>
      <c r="B60" s="2">
        <f t="shared" si="52"/>
        <v>58416.984570739762</v>
      </c>
      <c r="C60" s="2"/>
      <c r="D60" s="2">
        <f t="shared" si="57"/>
        <v>51474.650219724412</v>
      </c>
      <c r="E60" s="2">
        <f t="shared" si="58"/>
        <v>31693.788607372459</v>
      </c>
      <c r="F60" s="2"/>
      <c r="G60" s="2">
        <f t="shared" si="51"/>
        <v>52432.322233069499</v>
      </c>
      <c r="H60" s="2">
        <f t="shared" si="26"/>
        <v>108796.39924736254</v>
      </c>
      <c r="I60" s="2">
        <f t="shared" si="45"/>
        <v>302814.14487826871</v>
      </c>
      <c r="J60" s="2">
        <f t="shared" si="27"/>
        <v>13505.879301629961</v>
      </c>
      <c r="K60" s="83">
        <f t="shared" si="28"/>
        <v>4.6683350974126271E-2</v>
      </c>
      <c r="L60" s="7">
        <f t="shared" si="29"/>
        <v>1.0466833509741262</v>
      </c>
      <c r="N60">
        <f t="shared" si="30"/>
        <v>2005</v>
      </c>
      <c r="O60" s="2">
        <f t="shared" si="31"/>
        <v>7474.3735014595277</v>
      </c>
      <c r="P60" s="2"/>
      <c r="Q60" s="2"/>
      <c r="R60">
        <f t="shared" si="32"/>
        <v>2005</v>
      </c>
      <c r="S60" s="2">
        <f t="shared" si="59"/>
        <v>56922.109870447857</v>
      </c>
      <c r="T60" s="2"/>
      <c r="U60" s="2">
        <f t="shared" si="60"/>
        <v>49979.775519432507</v>
      </c>
      <c r="V60" s="2">
        <f t="shared" si="60"/>
        <v>30198.913907080554</v>
      </c>
      <c r="W60" s="2"/>
      <c r="X60" s="2">
        <f t="shared" si="61"/>
        <v>50937.447532777594</v>
      </c>
      <c r="Y60" s="2">
        <f t="shared" si="61"/>
        <v>107301.52454707063</v>
      </c>
      <c r="Z60" s="2">
        <f t="shared" si="48"/>
        <v>295339.77137680916</v>
      </c>
      <c r="AA60" s="2">
        <f t="shared" ref="AA60:AA67" si="68">Z60-Z59</f>
        <v>13267.104543112859</v>
      </c>
      <c r="AB60" s="83">
        <f t="shared" ref="AB60:AB67" si="69">(AA60/Z59)</f>
        <v>4.7034350020645016E-2</v>
      </c>
      <c r="AC60" s="7">
        <f t="shared" si="36"/>
        <v>1.0470343500206449</v>
      </c>
      <c r="AD60" s="2">
        <f t="shared" si="49"/>
        <v>0</v>
      </c>
      <c r="AE60" s="2"/>
      <c r="AG60">
        <f t="shared" si="14"/>
        <v>2005</v>
      </c>
      <c r="AH60" s="6">
        <f t="shared" si="53"/>
        <v>0.19273431954351924</v>
      </c>
      <c r="AI60" s="7"/>
      <c r="AJ60" s="6">
        <f t="shared" si="54"/>
        <v>0.1692280565073839</v>
      </c>
      <c r="AK60" s="6">
        <f t="shared" si="55"/>
        <v>0.10225142982369036</v>
      </c>
      <c r="AL60" s="7"/>
      <c r="AM60" s="6">
        <f t="shared" si="65"/>
        <v>0.17247066758167517</v>
      </c>
      <c r="AN60" s="6">
        <f t="shared" si="15"/>
        <v>0.36331552654373123</v>
      </c>
      <c r="AO60" s="6">
        <f t="shared" si="37"/>
        <v>0.99999999999999989</v>
      </c>
      <c r="AP60" s="7">
        <f t="shared" si="38"/>
        <v>0.63668447345626866</v>
      </c>
      <c r="AQ60" s="7">
        <f t="shared" si="39"/>
        <v>0</v>
      </c>
      <c r="AR60" s="7"/>
      <c r="AS60">
        <f t="shared" si="40"/>
        <v>2005</v>
      </c>
      <c r="AT60" s="2">
        <f>S60</f>
        <v>56922.109870447857</v>
      </c>
      <c r="AU60" s="2"/>
      <c r="AV60" s="2">
        <f t="shared" si="66"/>
        <v>49979.775519432507</v>
      </c>
      <c r="AW60" s="2">
        <f t="shared" si="66"/>
        <v>30198.913907080554</v>
      </c>
      <c r="AX60" s="2"/>
      <c r="AY60" s="2">
        <f t="shared" si="67"/>
        <v>50937.447532777594</v>
      </c>
      <c r="AZ60" s="2">
        <f t="shared" si="67"/>
        <v>107301.52454707063</v>
      </c>
      <c r="BA60" s="2">
        <f t="shared" si="64"/>
        <v>295339.77137680916</v>
      </c>
      <c r="BB60" s="2">
        <f t="shared" si="21"/>
        <v>0</v>
      </c>
      <c r="BC60" s="2"/>
      <c r="BM60" s="24"/>
      <c r="BN60">
        <f t="shared" si="5"/>
        <v>2005</v>
      </c>
      <c r="BO60" s="1" t="b">
        <f t="shared" si="41"/>
        <v>1</v>
      </c>
      <c r="BQ60" s="1" t="b">
        <f t="shared" si="62"/>
        <v>1</v>
      </c>
      <c r="BR60" s="1" t="b">
        <f t="shared" si="63"/>
        <v>1</v>
      </c>
      <c r="BT60" s="1" t="b">
        <f t="shared" ref="BT60:BT69" si="70">AND((X60/$Z60)&gt;0.15,(X60/$Z60)&lt;0.25)</f>
        <v>1</v>
      </c>
      <c r="BU60" s="1" t="b">
        <f t="shared" si="43"/>
        <v>0</v>
      </c>
      <c r="BV60" s="1" t="b">
        <f t="shared" si="44"/>
        <v>1</v>
      </c>
      <c r="CH60" s="2"/>
    </row>
    <row r="61" spans="1:86" x14ac:dyDescent="0.2">
      <c r="A61">
        <f t="shared" si="9"/>
        <v>2006</v>
      </c>
      <c r="B61" s="2">
        <f t="shared" si="52"/>
        <v>65824.727854185912</v>
      </c>
      <c r="C61" s="2"/>
      <c r="D61" s="2">
        <f t="shared" si="57"/>
        <v>56775.525596809741</v>
      </c>
      <c r="E61" s="2">
        <f t="shared" si="58"/>
        <v>34926.855868373088</v>
      </c>
      <c r="F61" s="2"/>
      <c r="G61" s="2">
        <f t="shared" si="51"/>
        <v>64505.655432083564</v>
      </c>
      <c r="H61" s="2">
        <f t="shared" si="26"/>
        <v>111883.29964523054</v>
      </c>
      <c r="I61" s="2">
        <f t="shared" si="45"/>
        <v>333916.06439668284</v>
      </c>
      <c r="J61" s="2">
        <f t="shared" si="27"/>
        <v>31101.919518414128</v>
      </c>
      <c r="K61" s="83">
        <f t="shared" si="28"/>
        <v>0.10270959941754736</v>
      </c>
      <c r="L61" s="7">
        <f t="shared" si="29"/>
        <v>1.1027095994175473</v>
      </c>
      <c r="N61">
        <f t="shared" si="30"/>
        <v>2006</v>
      </c>
      <c r="O61" s="2">
        <f t="shared" si="31"/>
        <v>7661.2328389960148</v>
      </c>
      <c r="P61" s="2"/>
      <c r="Q61" s="2"/>
      <c r="R61">
        <f t="shared" si="32"/>
        <v>2006</v>
      </c>
      <c r="S61" s="2">
        <f t="shared" si="59"/>
        <v>64292.481286386712</v>
      </c>
      <c r="T61" s="2"/>
      <c r="U61" s="2">
        <f t="shared" si="60"/>
        <v>55243.27902901054</v>
      </c>
      <c r="V61" s="2">
        <f t="shared" si="60"/>
        <v>33394.609300573888</v>
      </c>
      <c r="W61" s="2"/>
      <c r="X61" s="2">
        <f t="shared" si="61"/>
        <v>62973.408864284364</v>
      </c>
      <c r="Y61" s="2">
        <f t="shared" si="61"/>
        <v>110351.05307743134</v>
      </c>
      <c r="Z61" s="2">
        <f t="shared" si="48"/>
        <v>326254.83155768685</v>
      </c>
      <c r="AA61" s="2">
        <f t="shared" si="68"/>
        <v>30915.060180877685</v>
      </c>
      <c r="AB61" s="83">
        <f t="shared" si="69"/>
        <v>0.10467625148065383</v>
      </c>
      <c r="AC61" s="7">
        <f t="shared" si="36"/>
        <v>1.1046762514806538</v>
      </c>
      <c r="AD61" s="2">
        <f t="shared" si="49"/>
        <v>0</v>
      </c>
      <c r="AE61" s="2"/>
      <c r="AG61">
        <f t="shared" si="14"/>
        <v>2006</v>
      </c>
      <c r="AH61" s="6">
        <f t="shared" si="53"/>
        <v>0.19706215837302876</v>
      </c>
      <c r="AI61" s="7"/>
      <c r="AJ61" s="6">
        <f t="shared" si="54"/>
        <v>0.16932555072136207</v>
      </c>
      <c r="AK61" s="6">
        <f t="shared" si="55"/>
        <v>0.10235743986114489</v>
      </c>
      <c r="AL61" s="7"/>
      <c r="AM61" s="6">
        <f t="shared" si="65"/>
        <v>0.19301908438756624</v>
      </c>
      <c r="AN61" s="6">
        <f t="shared" si="15"/>
        <v>0.33823576665689803</v>
      </c>
      <c r="AO61" s="6">
        <f t="shared" si="37"/>
        <v>1</v>
      </c>
      <c r="AP61" s="7">
        <f t="shared" si="38"/>
        <v>0.66176423334310197</v>
      </c>
      <c r="AQ61" s="7">
        <f t="shared" si="39"/>
        <v>0</v>
      </c>
      <c r="AR61" s="7"/>
      <c r="AS61">
        <f t="shared" si="40"/>
        <v>2006</v>
      </c>
      <c r="AT61" s="2">
        <f>S61</f>
        <v>64292.481286386712</v>
      </c>
      <c r="AU61" s="2"/>
      <c r="AV61" s="2">
        <f t="shared" si="66"/>
        <v>55243.27902901054</v>
      </c>
      <c r="AW61" s="2">
        <f t="shared" si="66"/>
        <v>33394.609300573888</v>
      </c>
      <c r="AX61" s="2"/>
      <c r="AY61" s="2">
        <f t="shared" si="67"/>
        <v>62973.408864284364</v>
      </c>
      <c r="AZ61" s="2">
        <f t="shared" si="67"/>
        <v>110351.05307743134</v>
      </c>
      <c r="BA61" s="2">
        <f t="shared" si="64"/>
        <v>326254.83155768685</v>
      </c>
      <c r="BB61" s="2">
        <f t="shared" si="21"/>
        <v>0</v>
      </c>
      <c r="BC61" s="2"/>
      <c r="BM61" s="24"/>
      <c r="BN61">
        <f t="shared" si="5"/>
        <v>2006</v>
      </c>
      <c r="BO61" s="1" t="b">
        <f t="shared" si="41"/>
        <v>1</v>
      </c>
      <c r="BQ61" s="1" t="b">
        <f t="shared" si="62"/>
        <v>1</v>
      </c>
      <c r="BR61" s="1" t="b">
        <f t="shared" si="63"/>
        <v>1</v>
      </c>
      <c r="BT61" s="28" t="b">
        <f t="shared" si="70"/>
        <v>1</v>
      </c>
      <c r="BU61" s="28" t="b">
        <f t="shared" si="43"/>
        <v>1</v>
      </c>
      <c r="BV61" s="1" t="b">
        <f t="shared" si="44"/>
        <v>1</v>
      </c>
      <c r="CH61" s="2"/>
    </row>
    <row r="62" spans="1:86" x14ac:dyDescent="0.2">
      <c r="A62">
        <f t="shared" si="9"/>
        <v>2007</v>
      </c>
      <c r="B62" s="2">
        <f t="shared" si="52"/>
        <v>67757.846027722961</v>
      </c>
      <c r="C62" s="2"/>
      <c r="D62" s="2">
        <f t="shared" si="57"/>
        <v>58569.476859347269</v>
      </c>
      <c r="E62" s="2">
        <f t="shared" si="58"/>
        <v>33780.650984088519</v>
      </c>
      <c r="F62" s="2"/>
      <c r="G62" s="2">
        <f t="shared" si="51"/>
        <v>72748.141388198579</v>
      </c>
      <c r="H62" s="2">
        <f t="shared" si="26"/>
        <v>117987.34595038957</v>
      </c>
      <c r="I62" s="2">
        <f t="shared" si="45"/>
        <v>350843.46120974689</v>
      </c>
      <c r="J62" s="2">
        <f t="shared" si="27"/>
        <v>16927.396813064057</v>
      </c>
      <c r="K62" s="83">
        <f t="shared" si="28"/>
        <v>5.0693568288331249E-2</v>
      </c>
      <c r="L62" s="7">
        <f t="shared" si="29"/>
        <v>1.0506935682883312</v>
      </c>
      <c r="N62">
        <f t="shared" si="30"/>
        <v>2007</v>
      </c>
      <c r="O62" s="2">
        <f t="shared" si="31"/>
        <v>7975.3433853948509</v>
      </c>
      <c r="P62" s="2"/>
      <c r="Q62" s="2"/>
      <c r="R62">
        <f t="shared" si="32"/>
        <v>2007</v>
      </c>
      <c r="S62" s="2">
        <f t="shared" si="59"/>
        <v>66162.777350643984</v>
      </c>
      <c r="T62" s="2"/>
      <c r="U62" s="2">
        <f t="shared" si="60"/>
        <v>56974.4081822683</v>
      </c>
      <c r="V62" s="2">
        <f t="shared" si="60"/>
        <v>32185.58230700955</v>
      </c>
      <c r="W62" s="2"/>
      <c r="X62" s="2">
        <f t="shared" si="61"/>
        <v>71153.072711119603</v>
      </c>
      <c r="Y62" s="2">
        <f t="shared" si="61"/>
        <v>116392.2772733106</v>
      </c>
      <c r="Z62" s="2">
        <f t="shared" si="48"/>
        <v>342868.11782435206</v>
      </c>
      <c r="AA62" s="2">
        <f t="shared" si="68"/>
        <v>16613.286266665207</v>
      </c>
      <c r="AB62" s="83">
        <f t="shared" si="69"/>
        <v>5.0921196131704566E-2</v>
      </c>
      <c r="AC62" s="7">
        <f t="shared" si="36"/>
        <v>1.0509211961317046</v>
      </c>
      <c r="AD62" s="2">
        <f t="shared" si="49"/>
        <v>0</v>
      </c>
      <c r="AE62" s="2"/>
      <c r="AG62">
        <f t="shared" si="14"/>
        <v>2007</v>
      </c>
      <c r="AH62" s="6">
        <f t="shared" si="53"/>
        <v>0.19296859028618846</v>
      </c>
      <c r="AI62" s="7"/>
      <c r="AJ62" s="6">
        <f t="shared" si="54"/>
        <v>0.16617003804201977</v>
      </c>
      <c r="AK62" s="6">
        <f t="shared" si="55"/>
        <v>9.3871610201733319E-2</v>
      </c>
      <c r="AL62" s="7"/>
      <c r="AM62" s="6">
        <f t="shared" si="65"/>
        <v>0.20752315252469936</v>
      </c>
      <c r="AN62" s="6">
        <f t="shared" si="15"/>
        <v>0.33946660894535902</v>
      </c>
      <c r="AO62" s="6">
        <f t="shared" si="37"/>
        <v>0.99999999999999978</v>
      </c>
      <c r="AP62" s="7">
        <f t="shared" si="38"/>
        <v>0.66053339105464082</v>
      </c>
      <c r="AQ62" s="7">
        <f t="shared" si="39"/>
        <v>0</v>
      </c>
      <c r="AR62" s="7"/>
      <c r="AS62">
        <f t="shared" si="40"/>
        <v>2007</v>
      </c>
      <c r="AT62" s="2">
        <f>S62</f>
        <v>66162.777350643984</v>
      </c>
      <c r="AU62" s="2"/>
      <c r="AV62" s="2">
        <f t="shared" si="66"/>
        <v>56974.4081822683</v>
      </c>
      <c r="AW62" s="2">
        <f t="shared" si="66"/>
        <v>32185.58230700955</v>
      </c>
      <c r="AX62" s="2"/>
      <c r="AY62" s="2">
        <f t="shared" si="67"/>
        <v>71153.072711119603</v>
      </c>
      <c r="AZ62" s="2">
        <f t="shared" si="67"/>
        <v>116392.2772733106</v>
      </c>
      <c r="BA62" s="2">
        <f t="shared" si="64"/>
        <v>342868.11782435206</v>
      </c>
      <c r="BB62" s="2">
        <f t="shared" si="21"/>
        <v>0</v>
      </c>
      <c r="BC62" s="2"/>
      <c r="BM62" s="24"/>
      <c r="BN62">
        <f t="shared" si="5"/>
        <v>2007</v>
      </c>
      <c r="BO62" s="1" t="b">
        <f t="shared" si="41"/>
        <v>1</v>
      </c>
      <c r="BQ62" s="1" t="b">
        <f t="shared" si="62"/>
        <v>1</v>
      </c>
      <c r="BR62" s="1" t="b">
        <f t="shared" si="63"/>
        <v>1</v>
      </c>
      <c r="BT62" s="1" t="b">
        <f t="shared" si="70"/>
        <v>1</v>
      </c>
      <c r="BU62" s="1" t="b">
        <f t="shared" si="43"/>
        <v>1</v>
      </c>
      <c r="BV62" s="1" t="b">
        <f t="shared" si="44"/>
        <v>1</v>
      </c>
      <c r="CH62" s="2"/>
    </row>
    <row r="63" spans="1:86" x14ac:dyDescent="0.2">
      <c r="A63">
        <f t="shared" si="9"/>
        <v>2008</v>
      </c>
      <c r="B63" s="2">
        <f t="shared" si="52"/>
        <v>41669.317175435579</v>
      </c>
      <c r="C63" s="2"/>
      <c r="D63" s="2">
        <f t="shared" si="57"/>
        <v>33145.43170411641</v>
      </c>
      <c r="E63" s="2">
        <f t="shared" si="58"/>
        <v>20576.242768871205</v>
      </c>
      <c r="F63" s="2"/>
      <c r="G63" s="2">
        <f t="shared" si="51"/>
        <v>39773.856114788745</v>
      </c>
      <c r="H63" s="2">
        <f t="shared" si="26"/>
        <v>122270.08727561278</v>
      </c>
      <c r="I63" s="2">
        <f t="shared" si="45"/>
        <v>257434.93503882471</v>
      </c>
      <c r="J63" s="2">
        <f t="shared" si="27"/>
        <v>-93408.526170922181</v>
      </c>
      <c r="K63" s="83">
        <f t="shared" si="28"/>
        <v>-0.26623989470642917</v>
      </c>
      <c r="L63" s="7">
        <f t="shared" si="29"/>
        <v>0.73376010529357083</v>
      </c>
      <c r="N63">
        <f t="shared" si="30"/>
        <v>2008</v>
      </c>
      <c r="O63" s="2">
        <f t="shared" si="31"/>
        <v>7975.3433853948509</v>
      </c>
      <c r="P63" s="2"/>
      <c r="Q63" s="2"/>
      <c r="R63">
        <f t="shared" si="32"/>
        <v>2008</v>
      </c>
      <c r="S63" s="2">
        <f t="shared" si="59"/>
        <v>40074.24849835661</v>
      </c>
      <c r="T63" s="2"/>
      <c r="U63" s="2">
        <f t="shared" si="60"/>
        <v>31550.363027037441</v>
      </c>
      <c r="V63" s="2">
        <f t="shared" si="60"/>
        <v>18981.174091792236</v>
      </c>
      <c r="W63" s="2"/>
      <c r="X63" s="2">
        <f t="shared" si="61"/>
        <v>38178.787437709776</v>
      </c>
      <c r="Y63" s="2">
        <f t="shared" si="61"/>
        <v>120675.0185985338</v>
      </c>
      <c r="Z63" s="2">
        <f t="shared" si="48"/>
        <v>249459.59165342984</v>
      </c>
      <c r="AA63" s="2">
        <f t="shared" si="68"/>
        <v>-93408.52617092221</v>
      </c>
      <c r="AB63" s="83">
        <f t="shared" si="69"/>
        <v>-0.27243281400335528</v>
      </c>
      <c r="AC63" s="7">
        <f t="shared" si="36"/>
        <v>0.72756718599664472</v>
      </c>
      <c r="AD63" s="2">
        <f t="shared" si="49"/>
        <v>0</v>
      </c>
      <c r="AE63" s="2"/>
      <c r="AG63">
        <f t="shared" si="14"/>
        <v>2008</v>
      </c>
      <c r="AH63" s="6">
        <f t="shared" si="53"/>
        <v>0.1606442479631375</v>
      </c>
      <c r="AI63" s="7"/>
      <c r="AJ63" s="6">
        <f t="shared" si="54"/>
        <v>0.12647484435423051</v>
      </c>
      <c r="AK63" s="6">
        <f t="shared" si="55"/>
        <v>7.6089173264431834E-2</v>
      </c>
      <c r="AL63" s="7"/>
      <c r="AM63" s="6">
        <f t="shared" si="65"/>
        <v>0.15304597904878697</v>
      </c>
      <c r="AN63" s="6">
        <f t="shared" si="15"/>
        <v>0.48374575536941328</v>
      </c>
      <c r="AO63" s="6">
        <f t="shared" si="37"/>
        <v>1</v>
      </c>
      <c r="AP63" s="7">
        <f t="shared" si="38"/>
        <v>0.51625424463058678</v>
      </c>
      <c r="AQ63" s="7">
        <f t="shared" si="39"/>
        <v>0</v>
      </c>
      <c r="AR63" s="7"/>
      <c r="AS63">
        <f t="shared" si="40"/>
        <v>2008</v>
      </c>
      <c r="AT63" s="40">
        <v>0</v>
      </c>
      <c r="AU63" s="40"/>
      <c r="AV63" s="40">
        <v>0</v>
      </c>
      <c r="AW63" s="40">
        <v>0</v>
      </c>
      <c r="AX63" s="40"/>
      <c r="AY63" s="40">
        <v>0</v>
      </c>
      <c r="AZ63" s="40">
        <f>Z63</f>
        <v>249459.59165342984</v>
      </c>
      <c r="BA63" s="2">
        <f t="shared" si="64"/>
        <v>249459.59165342984</v>
      </c>
      <c r="BB63" s="2">
        <f t="shared" si="21"/>
        <v>0</v>
      </c>
      <c r="BC63" s="2"/>
      <c r="BM63" s="24"/>
      <c r="BN63">
        <f t="shared" si="5"/>
        <v>2008</v>
      </c>
      <c r="BO63" s="1" t="b">
        <f t="shared" si="41"/>
        <v>1</v>
      </c>
      <c r="BQ63" s="1" t="b">
        <f t="shared" si="62"/>
        <v>0</v>
      </c>
      <c r="BR63" s="1" t="b">
        <f t="shared" si="63"/>
        <v>1</v>
      </c>
      <c r="BT63" s="1" t="b">
        <f t="shared" si="70"/>
        <v>1</v>
      </c>
      <c r="BU63" s="28" t="b">
        <f t="shared" si="43"/>
        <v>0</v>
      </c>
      <c r="BV63" s="1" t="b">
        <f t="shared" si="44"/>
        <v>1</v>
      </c>
      <c r="CH63" s="2"/>
    </row>
    <row r="64" spans="1:86" x14ac:dyDescent="0.2">
      <c r="A64">
        <f t="shared" si="9"/>
        <v>2009</v>
      </c>
      <c r="B64" s="2">
        <f t="shared" si="52"/>
        <v>0</v>
      </c>
      <c r="C64" s="2"/>
      <c r="D64" s="2">
        <f t="shared" si="57"/>
        <v>0</v>
      </c>
      <c r="E64" s="2">
        <f t="shared" si="58"/>
        <v>0</v>
      </c>
      <c r="F64" s="2"/>
      <c r="G64" s="2">
        <f t="shared" si="51"/>
        <v>0</v>
      </c>
      <c r="H64" s="2">
        <f t="shared" si="26"/>
        <v>264252.54543847824</v>
      </c>
      <c r="I64" s="2">
        <f t="shared" si="45"/>
        <v>264252.54543847824</v>
      </c>
      <c r="J64" s="2">
        <f t="shared" si="27"/>
        <v>6817.6103996535239</v>
      </c>
      <c r="K64" s="83">
        <f t="shared" si="28"/>
        <v>2.6482848563755868E-2</v>
      </c>
      <c r="L64" s="7">
        <f t="shared" si="29"/>
        <v>1.0264828485637558</v>
      </c>
      <c r="N64">
        <f t="shared" si="30"/>
        <v>2009</v>
      </c>
      <c r="O64" s="2">
        <f t="shared" si="31"/>
        <v>8198.6530001859064</v>
      </c>
      <c r="P64" s="2"/>
      <c r="Q64" s="2"/>
      <c r="R64">
        <f t="shared" si="32"/>
        <v>2009</v>
      </c>
      <c r="S64" s="40">
        <v>0</v>
      </c>
      <c r="T64" s="40"/>
      <c r="U64" s="40">
        <v>0</v>
      </c>
      <c r="V64" s="40">
        <v>0</v>
      </c>
      <c r="W64" s="40"/>
      <c r="X64" s="40">
        <v>0</v>
      </c>
      <c r="Y64" s="40">
        <f>H64-($O64)</f>
        <v>256053.89243829233</v>
      </c>
      <c r="Z64" s="2">
        <f t="shared" si="48"/>
        <v>256053.89243829233</v>
      </c>
      <c r="AA64" s="2">
        <f t="shared" si="68"/>
        <v>6594.3007848624839</v>
      </c>
      <c r="AB64" s="83">
        <f t="shared" si="69"/>
        <v>2.6434344501067887E-2</v>
      </c>
      <c r="AC64" s="7">
        <f t="shared" si="36"/>
        <v>1.026434344501068</v>
      </c>
      <c r="AD64" s="2">
        <f t="shared" si="49"/>
        <v>0</v>
      </c>
      <c r="AE64" s="2"/>
      <c r="AG64">
        <f t="shared" si="14"/>
        <v>2009</v>
      </c>
      <c r="AH64" s="38">
        <f t="shared" si="53"/>
        <v>0</v>
      </c>
      <c r="AI64" s="61"/>
      <c r="AJ64" s="38">
        <f t="shared" si="54"/>
        <v>0</v>
      </c>
      <c r="AK64" s="38">
        <f t="shared" si="55"/>
        <v>0</v>
      </c>
      <c r="AL64" s="61"/>
      <c r="AM64" s="38">
        <f t="shared" si="65"/>
        <v>0</v>
      </c>
      <c r="AN64" s="38">
        <f t="shared" si="15"/>
        <v>1</v>
      </c>
      <c r="AO64" s="6">
        <f t="shared" si="37"/>
        <v>1</v>
      </c>
      <c r="AP64" s="7">
        <f t="shared" si="38"/>
        <v>0</v>
      </c>
      <c r="AQ64" s="7">
        <f t="shared" si="39"/>
        <v>0</v>
      </c>
      <c r="AR64" s="7"/>
      <c r="AS64">
        <f t="shared" si="40"/>
        <v>2009</v>
      </c>
      <c r="AT64" s="40">
        <f>$Z64*AT$42</f>
        <v>51210.77848765847</v>
      </c>
      <c r="AU64" s="40"/>
      <c r="AV64" s="40">
        <f>$Z64*AV$42</f>
        <v>38408.083865743851</v>
      </c>
      <c r="AW64" s="40">
        <f>$Z64*AW$42</f>
        <v>25605.389243829235</v>
      </c>
      <c r="AX64" s="40"/>
      <c r="AY64" s="40">
        <f>$Z64*AY$42</f>
        <v>38408.083865743851</v>
      </c>
      <c r="AZ64" s="40">
        <f>$Z64*AZ$42</f>
        <v>102421.55697531694</v>
      </c>
      <c r="BA64" s="2">
        <f t="shared" si="64"/>
        <v>256053.89243829233</v>
      </c>
      <c r="BB64" s="2">
        <f t="shared" si="21"/>
        <v>0</v>
      </c>
      <c r="BC64" s="2"/>
      <c r="BM64" s="24"/>
      <c r="BN64">
        <f t="shared" si="5"/>
        <v>2009</v>
      </c>
      <c r="BO64" s="1" t="b">
        <f t="shared" si="41"/>
        <v>0</v>
      </c>
      <c r="BQ64" s="1" t="b">
        <f t="shared" si="62"/>
        <v>0</v>
      </c>
      <c r="BR64" s="1" t="b">
        <f t="shared" si="63"/>
        <v>0</v>
      </c>
      <c r="BT64" s="1" t="b">
        <f t="shared" si="70"/>
        <v>0</v>
      </c>
      <c r="BU64" s="1" t="b">
        <f t="shared" si="43"/>
        <v>0</v>
      </c>
      <c r="BV64" s="1" t="b">
        <f t="shared" si="44"/>
        <v>1</v>
      </c>
      <c r="CH64" s="2"/>
    </row>
    <row r="65" spans="1:86" x14ac:dyDescent="0.2">
      <c r="A65">
        <f t="shared" si="9"/>
        <v>2010</v>
      </c>
      <c r="B65" s="2">
        <f t="shared" si="52"/>
        <v>58846.305560168352</v>
      </c>
      <c r="C65" s="2"/>
      <c r="D65" s="2">
        <f t="shared" si="57"/>
        <v>48186.782017962236</v>
      </c>
      <c r="E65" s="2">
        <f t="shared" si="58"/>
        <v>32703.203142218703</v>
      </c>
      <c r="F65" s="2"/>
      <c r="G65" s="2">
        <f t="shared" si="51"/>
        <v>42679.062791614568</v>
      </c>
      <c r="H65" s="2">
        <f t="shared" si="26"/>
        <v>108997.0209331323</v>
      </c>
      <c r="I65" s="2">
        <f t="shared" si="45"/>
        <v>291412.37444509612</v>
      </c>
      <c r="J65" s="2">
        <f t="shared" si="27"/>
        <v>27159.829006617889</v>
      </c>
      <c r="K65" s="83">
        <f t="shared" si="28"/>
        <v>0.10277981981801225</v>
      </c>
      <c r="L65" s="7">
        <f t="shared" si="29"/>
        <v>1.1027798198180123</v>
      </c>
      <c r="N65">
        <f t="shared" si="30"/>
        <v>2010</v>
      </c>
      <c r="O65" s="2">
        <f t="shared" si="31"/>
        <v>8313.4341421885092</v>
      </c>
      <c r="P65" s="2"/>
      <c r="Q65" s="2"/>
      <c r="R65">
        <f t="shared" si="32"/>
        <v>2010</v>
      </c>
      <c r="S65" s="2">
        <f t="shared" si="59"/>
        <v>57183.618731730647</v>
      </c>
      <c r="T65" s="2"/>
      <c r="U65" s="2">
        <f t="shared" si="60"/>
        <v>46524.095189524531</v>
      </c>
      <c r="V65" s="2">
        <f t="shared" si="60"/>
        <v>31040.516313781001</v>
      </c>
      <c r="W65" s="2"/>
      <c r="X65" s="2">
        <f t="shared" si="61"/>
        <v>41016.375963176863</v>
      </c>
      <c r="Y65" s="2">
        <f t="shared" si="61"/>
        <v>107334.3341046946</v>
      </c>
      <c r="Z65" s="2">
        <f t="shared" si="48"/>
        <v>283098.94030290761</v>
      </c>
      <c r="AA65" s="2">
        <f t="shared" si="68"/>
        <v>27045.047864615277</v>
      </c>
      <c r="AB65" s="83">
        <f t="shared" si="69"/>
        <v>0.10562248285732659</v>
      </c>
      <c r="AC65" s="7">
        <f t="shared" si="36"/>
        <v>1.1056224828573267</v>
      </c>
      <c r="AD65" s="2">
        <f t="shared" si="49"/>
        <v>0</v>
      </c>
      <c r="AE65" s="2"/>
      <c r="AG65">
        <f t="shared" si="14"/>
        <v>2010</v>
      </c>
      <c r="AH65" s="6">
        <f t="shared" si="53"/>
        <v>0.201991638225653</v>
      </c>
      <c r="AI65" s="7"/>
      <c r="AJ65" s="6">
        <f t="shared" si="54"/>
        <v>0.16433864125293124</v>
      </c>
      <c r="AK65" s="6">
        <f t="shared" si="55"/>
        <v>0.10964546981549474</v>
      </c>
      <c r="AL65" s="7"/>
      <c r="AM65" s="6">
        <f t="shared" si="65"/>
        <v>0.14488353760452277</v>
      </c>
      <c r="AN65" s="6">
        <f t="shared" si="15"/>
        <v>0.37914071310139841</v>
      </c>
      <c r="AO65" s="6">
        <f t="shared" si="37"/>
        <v>1</v>
      </c>
      <c r="AP65" s="7">
        <f t="shared" si="38"/>
        <v>0.6208592868986017</v>
      </c>
      <c r="AQ65" s="7">
        <f t="shared" si="39"/>
        <v>0</v>
      </c>
      <c r="AR65" s="7"/>
      <c r="AS65">
        <f t="shared" si="40"/>
        <v>2010</v>
      </c>
      <c r="AT65" s="2">
        <f>S65</f>
        <v>57183.618731730647</v>
      </c>
      <c r="AU65" s="2"/>
      <c r="AV65" s="2">
        <f t="shared" ref="AV65:AW65" si="71">U65</f>
        <v>46524.095189524531</v>
      </c>
      <c r="AW65" s="2">
        <f t="shared" si="71"/>
        <v>31040.516313781001</v>
      </c>
      <c r="AX65" s="2"/>
      <c r="AY65" s="2">
        <f t="shared" ref="AY65:AZ65" si="72">X65</f>
        <v>41016.375963176863</v>
      </c>
      <c r="AZ65" s="2">
        <f t="shared" si="72"/>
        <v>107334.3341046946</v>
      </c>
      <c r="BA65" s="2">
        <f t="shared" si="64"/>
        <v>283098.94030290761</v>
      </c>
      <c r="BB65" s="2">
        <f t="shared" si="21"/>
        <v>0</v>
      </c>
      <c r="BC65" s="2"/>
      <c r="BM65" s="24"/>
      <c r="BN65">
        <f t="shared" si="5"/>
        <v>2010</v>
      </c>
      <c r="BO65" s="1" t="b">
        <f t="shared" si="41"/>
        <v>1</v>
      </c>
      <c r="BQ65" s="1" t="b">
        <f t="shared" si="62"/>
        <v>1</v>
      </c>
      <c r="BR65" s="1" t="b">
        <f t="shared" si="63"/>
        <v>1</v>
      </c>
      <c r="BT65" s="1" t="b">
        <f t="shared" si="70"/>
        <v>0</v>
      </c>
      <c r="BU65" s="28" t="b">
        <f t="shared" si="43"/>
        <v>0</v>
      </c>
      <c r="BV65" s="1" t="b">
        <f t="shared" si="44"/>
        <v>1</v>
      </c>
      <c r="CH65" s="2"/>
    </row>
    <row r="66" spans="1:86" x14ac:dyDescent="0.2">
      <c r="A66">
        <f t="shared" si="9"/>
        <v>2011</v>
      </c>
      <c r="B66" s="2">
        <f t="shared" si="52"/>
        <v>58310.13602074574</v>
      </c>
      <c r="C66" s="2"/>
      <c r="D66" s="2">
        <f t="shared" si="57"/>
        <v>45542.436781025564</v>
      </c>
      <c r="E66" s="2">
        <f t="shared" si="58"/>
        <v>30171.381856995133</v>
      </c>
      <c r="F66" s="2"/>
      <c r="G66" s="2">
        <f t="shared" si="51"/>
        <v>35044.39162293831</v>
      </c>
      <c r="H66" s="2">
        <f t="shared" si="26"/>
        <v>115448.80976300953</v>
      </c>
      <c r="I66" s="2">
        <f t="shared" si="45"/>
        <v>284517.15604471427</v>
      </c>
      <c r="J66" s="2">
        <f t="shared" si="27"/>
        <v>-6895.2184003818547</v>
      </c>
      <c r="K66" s="83">
        <f t="shared" si="28"/>
        <v>-2.3661378187908613E-2</v>
      </c>
      <c r="L66" s="7">
        <f t="shared" si="29"/>
        <v>0.97633862181209141</v>
      </c>
      <c r="N66">
        <f t="shared" si="30"/>
        <v>2011</v>
      </c>
      <c r="O66" s="2">
        <f t="shared" si="31"/>
        <v>8562.8371664541646</v>
      </c>
      <c r="P66" s="2"/>
      <c r="Q66" s="2"/>
      <c r="R66">
        <f t="shared" si="32"/>
        <v>2011</v>
      </c>
      <c r="S66" s="2">
        <f t="shared" si="59"/>
        <v>56597.568587454909</v>
      </c>
      <c r="T66" s="2"/>
      <c r="U66" s="2">
        <f t="shared" si="60"/>
        <v>43829.869347734733</v>
      </c>
      <c r="V66" s="2">
        <f t="shared" si="60"/>
        <v>28458.814423704302</v>
      </c>
      <c r="W66" s="2"/>
      <c r="X66" s="2">
        <f t="shared" si="61"/>
        <v>33331.824189647479</v>
      </c>
      <c r="Y66" s="2">
        <f t="shared" si="61"/>
        <v>113736.24232971869</v>
      </c>
      <c r="Z66" s="2">
        <f t="shared" si="48"/>
        <v>275954.31887826009</v>
      </c>
      <c r="AA66" s="2">
        <f t="shared" si="68"/>
        <v>-7144.6214246475138</v>
      </c>
      <c r="AB66" s="83">
        <f t="shared" si="69"/>
        <v>-2.5237188867619841E-2</v>
      </c>
      <c r="AC66" s="7">
        <f t="shared" si="36"/>
        <v>0.97476281113238017</v>
      </c>
      <c r="AD66" s="2">
        <f t="shared" si="49"/>
        <v>0</v>
      </c>
      <c r="AE66" s="2"/>
      <c r="AG66">
        <f t="shared" si="14"/>
        <v>2011</v>
      </c>
      <c r="AH66" s="6">
        <f t="shared" si="53"/>
        <v>0.20509760027500593</v>
      </c>
      <c r="AI66" s="7"/>
      <c r="AJ66" s="6">
        <f t="shared" si="54"/>
        <v>0.1588301626367033</v>
      </c>
      <c r="AK66" s="6">
        <f t="shared" si="55"/>
        <v>0.10312871543155366</v>
      </c>
      <c r="AL66" s="7"/>
      <c r="AM66" s="6">
        <f t="shared" si="65"/>
        <v>0.12078747064057416</v>
      </c>
      <c r="AN66" s="6">
        <f t="shared" si="15"/>
        <v>0.41215605101616304</v>
      </c>
      <c r="AO66" s="6">
        <f t="shared" si="37"/>
        <v>1</v>
      </c>
      <c r="AP66" s="7">
        <f t="shared" si="38"/>
        <v>0.58784394898383707</v>
      </c>
      <c r="AQ66" s="7">
        <f t="shared" si="39"/>
        <v>0</v>
      </c>
      <c r="AR66" s="7"/>
      <c r="AS66">
        <f t="shared" si="40"/>
        <v>2011</v>
      </c>
      <c r="AT66" s="2">
        <f t="shared" ref="AT66:AT69" si="73">S66</f>
        <v>56597.568587454909</v>
      </c>
      <c r="AU66" s="2"/>
      <c r="AV66" s="2">
        <f t="shared" ref="AV66:AV69" si="74">U66</f>
        <v>43829.869347734733</v>
      </c>
      <c r="AW66" s="2">
        <f t="shared" ref="AW66:AW69" si="75">V66</f>
        <v>28458.814423704302</v>
      </c>
      <c r="AX66" s="2"/>
      <c r="AY66" s="2">
        <f t="shared" ref="AY66:AY69" si="76">X66</f>
        <v>33331.824189647479</v>
      </c>
      <c r="AZ66" s="2">
        <f t="shared" ref="AZ66:AZ69" si="77">Y66</f>
        <v>113736.24232971869</v>
      </c>
      <c r="BA66" s="2">
        <f t="shared" ref="BA66:BA69" si="78">Z66</f>
        <v>275954.31887826009</v>
      </c>
      <c r="BB66" s="2">
        <f t="shared" ref="BB66:BB69" si="79">SUM(AT66:AZ66)-Z66</f>
        <v>0</v>
      </c>
      <c r="BC66" s="2"/>
      <c r="BM66" s="24"/>
      <c r="BN66">
        <f t="shared" si="5"/>
        <v>2011</v>
      </c>
      <c r="BO66" s="1" t="b">
        <f t="shared" si="41"/>
        <v>1</v>
      </c>
      <c r="BQ66" s="1" t="b">
        <f t="shared" si="62"/>
        <v>1</v>
      </c>
      <c r="BR66" s="1" t="b">
        <f t="shared" si="63"/>
        <v>1</v>
      </c>
      <c r="BT66" s="1" t="b">
        <f t="shared" si="70"/>
        <v>0</v>
      </c>
      <c r="BU66" s="1" t="b">
        <f t="shared" si="43"/>
        <v>0</v>
      </c>
      <c r="BV66" s="1" t="b">
        <f t="shared" si="44"/>
        <v>1</v>
      </c>
      <c r="CH66" s="2"/>
    </row>
    <row r="67" spans="1:86" x14ac:dyDescent="0.2">
      <c r="A67">
        <f t="shared" si="9"/>
        <v>2012</v>
      </c>
      <c r="B67" s="2">
        <f t="shared" si="52"/>
        <v>65551.303937990277</v>
      </c>
      <c r="C67" s="2"/>
      <c r="D67" s="2">
        <f t="shared" si="57"/>
        <v>50754.98870467682</v>
      </c>
      <c r="E67" s="2">
        <f t="shared" si="58"/>
        <v>33592.784545740564</v>
      </c>
      <c r="F67" s="2"/>
      <c r="G67" s="2">
        <f t="shared" si="51"/>
        <v>39378.217097649533</v>
      </c>
      <c r="H67" s="2">
        <f t="shared" si="26"/>
        <v>118342.5601440723</v>
      </c>
      <c r="I67" s="2">
        <f t="shared" si="45"/>
        <v>307619.85443012946</v>
      </c>
      <c r="J67" s="2">
        <f t="shared" si="27"/>
        <v>23102.698385415191</v>
      </c>
      <c r="K67" s="83">
        <f t="shared" si="28"/>
        <v>8.1199667206656626E-2</v>
      </c>
      <c r="L67" s="7">
        <f t="shared" si="29"/>
        <v>1.0811996672066566</v>
      </c>
      <c r="N67">
        <f t="shared" si="30"/>
        <v>2012</v>
      </c>
      <c r="O67" s="2">
        <f t="shared" si="31"/>
        <v>8716.9682354503402</v>
      </c>
      <c r="P67" s="2"/>
      <c r="Q67" s="2"/>
      <c r="R67">
        <f t="shared" si="32"/>
        <v>2012</v>
      </c>
      <c r="S67" s="2">
        <f t="shared" si="59"/>
        <v>63807.91029090021</v>
      </c>
      <c r="T67" s="2"/>
      <c r="U67" s="2">
        <f t="shared" si="60"/>
        <v>49011.595057586754</v>
      </c>
      <c r="V67" s="2">
        <f t="shared" si="60"/>
        <v>31849.390898650498</v>
      </c>
      <c r="W67" s="2"/>
      <c r="X67" s="2">
        <f t="shared" si="61"/>
        <v>37634.823450559466</v>
      </c>
      <c r="Y67" s="2">
        <f t="shared" si="61"/>
        <v>116599.16649698223</v>
      </c>
      <c r="Z67" s="2">
        <f t="shared" si="48"/>
        <v>298902.88619467913</v>
      </c>
      <c r="AA67" s="2">
        <f t="shared" si="68"/>
        <v>22948.567316419038</v>
      </c>
      <c r="AB67" s="83">
        <f t="shared" si="69"/>
        <v>8.3160747074746882E-2</v>
      </c>
      <c r="AC67" s="7">
        <f t="shared" si="36"/>
        <v>1.0831607470747469</v>
      </c>
      <c r="AD67" s="2">
        <f t="shared" si="49"/>
        <v>0</v>
      </c>
      <c r="AE67" s="2"/>
      <c r="AG67">
        <f t="shared" si="14"/>
        <v>2012</v>
      </c>
      <c r="AH67" s="6">
        <f t="shared" si="53"/>
        <v>0.21347371751151756</v>
      </c>
      <c r="AI67" s="7"/>
      <c r="AJ67" s="6">
        <f t="shared" si="54"/>
        <v>0.16397163534133591</v>
      </c>
      <c r="AK67" s="6">
        <f t="shared" si="55"/>
        <v>0.10655431034515538</v>
      </c>
      <c r="AL67" s="7"/>
      <c r="AM67" s="6">
        <f t="shared" si="65"/>
        <v>0.12590986968940621</v>
      </c>
      <c r="AN67" s="6">
        <f t="shared" si="15"/>
        <v>0.39009046711258505</v>
      </c>
      <c r="AO67" s="6">
        <f t="shared" si="37"/>
        <v>1.0000000000000002</v>
      </c>
      <c r="AP67" s="7">
        <f t="shared" si="38"/>
        <v>0.60990953288741512</v>
      </c>
      <c r="AQ67" s="7">
        <f t="shared" si="39"/>
        <v>0</v>
      </c>
      <c r="AR67" s="7"/>
      <c r="AS67">
        <f t="shared" si="40"/>
        <v>2012</v>
      </c>
      <c r="AT67" s="2">
        <f t="shared" si="73"/>
        <v>63807.91029090021</v>
      </c>
      <c r="AU67" s="2"/>
      <c r="AV67" s="2">
        <f t="shared" si="74"/>
        <v>49011.595057586754</v>
      </c>
      <c r="AW67" s="2">
        <f t="shared" si="75"/>
        <v>31849.390898650498</v>
      </c>
      <c r="AX67" s="2"/>
      <c r="AY67" s="2">
        <f t="shared" si="76"/>
        <v>37634.823450559466</v>
      </c>
      <c r="AZ67" s="2">
        <f t="shared" si="77"/>
        <v>116599.16649698223</v>
      </c>
      <c r="BA67" s="2">
        <f t="shared" si="78"/>
        <v>298902.88619467913</v>
      </c>
      <c r="BB67" s="2">
        <f t="shared" si="79"/>
        <v>0</v>
      </c>
      <c r="BC67" s="2"/>
      <c r="BM67" s="24"/>
      <c r="BN67">
        <f t="shared" si="5"/>
        <v>2012</v>
      </c>
      <c r="BO67" s="1" t="b">
        <f t="shared" si="41"/>
        <v>1</v>
      </c>
      <c r="BQ67" s="1" t="b">
        <f t="shared" si="62"/>
        <v>1</v>
      </c>
      <c r="BR67" s="1" t="b">
        <f t="shared" si="63"/>
        <v>1</v>
      </c>
      <c r="BT67" s="1" t="b">
        <f t="shared" si="70"/>
        <v>0</v>
      </c>
      <c r="BU67" s="1" t="b">
        <f t="shared" si="43"/>
        <v>0</v>
      </c>
      <c r="BV67" s="1" t="b">
        <f t="shared" si="44"/>
        <v>1</v>
      </c>
      <c r="CH67" s="2"/>
    </row>
    <row r="68" spans="1:86" x14ac:dyDescent="0.2">
      <c r="A68">
        <f t="shared" si="9"/>
        <v>2013</v>
      </c>
      <c r="B68" s="2">
        <f t="shared" si="52"/>
        <v>84341.295822511907</v>
      </c>
      <c r="C68" s="2"/>
      <c r="D68" s="2">
        <f t="shared" ref="D68:E68" si="80">AV67*(1+(D29/100))</f>
        <v>66165.653327742126</v>
      </c>
      <c r="E68" s="2">
        <f t="shared" si="80"/>
        <v>43831.13175472281</v>
      </c>
      <c r="F68" s="2"/>
      <c r="G68" s="2">
        <f t="shared" ref="G68:H68" si="81">AY67*(1+(G29/100))</f>
        <v>43295.100897523604</v>
      </c>
      <c r="H68" s="2">
        <f t="shared" si="81"/>
        <v>113964.02533415044</v>
      </c>
      <c r="I68" s="2">
        <f t="shared" ref="I68:I69" si="82">SUM(B68:H68)</f>
        <v>351597.20713665086</v>
      </c>
      <c r="J68" s="2">
        <f t="shared" ref="J68:J69" si="83">I68-I67</f>
        <v>43977.3527065214</v>
      </c>
      <c r="K68" s="83">
        <f t="shared" ref="K68:K69" si="84">(J68/I67)</f>
        <v>0.14296005954488902</v>
      </c>
      <c r="L68" s="7">
        <f t="shared" ref="L68:L69" si="85">K68+1</f>
        <v>1.142960059544889</v>
      </c>
      <c r="N68">
        <f t="shared" ref="N68:N69" si="86">A68</f>
        <v>2013</v>
      </c>
      <c r="O68" s="2">
        <f t="shared" si="31"/>
        <v>8817.7007973373929</v>
      </c>
      <c r="P68" s="2"/>
      <c r="Q68" s="2"/>
      <c r="R68">
        <f t="shared" ref="R68:R69" si="87">A68</f>
        <v>2013</v>
      </c>
      <c r="S68" s="2">
        <f t="shared" ref="S68:S69" si="88">B68-($O68/5)</f>
        <v>82577.755663044431</v>
      </c>
      <c r="T68" s="2"/>
      <c r="U68" s="2">
        <f t="shared" ref="U68:U69" si="89">D68-($O68/5)</f>
        <v>64402.113168274649</v>
      </c>
      <c r="V68" s="2">
        <f t="shared" ref="V68:V69" si="90">E68-($O68/5)</f>
        <v>42067.591595255333</v>
      </c>
      <c r="W68" s="2"/>
      <c r="X68" s="2">
        <f t="shared" ref="X68:X69" si="91">G68-($O68/5)</f>
        <v>41531.560738056127</v>
      </c>
      <c r="Y68" s="2">
        <f t="shared" ref="Y68:Y69" si="92">H68-($O68/5)</f>
        <v>112200.48517468297</v>
      </c>
      <c r="Z68" s="2">
        <f t="shared" ref="Z68:Z69" si="93">SUM(S68:Y68)</f>
        <v>342779.50633931352</v>
      </c>
      <c r="AA68" s="2">
        <f t="shared" ref="AA68:AA69" si="94">Z68-Z67</f>
        <v>43876.620144634391</v>
      </c>
      <c r="AB68" s="83">
        <f t="shared" ref="AB68:AB69" si="95">(AA68/Z67)</f>
        <v>0.1467922264091388</v>
      </c>
      <c r="AC68" s="7">
        <f t="shared" ref="AC68:AC69" si="96">AB68+1</f>
        <v>1.1467922264091388</v>
      </c>
      <c r="AD68" s="2">
        <f t="shared" ref="AD68:AD69" si="97">Z68-(I68-O68)</f>
        <v>0</v>
      </c>
      <c r="AE68" s="2"/>
      <c r="AG68">
        <f t="shared" ref="AG68:AG69" si="98">A68</f>
        <v>2013</v>
      </c>
      <c r="AH68" s="6">
        <f t="shared" ref="AH68:AH69" si="99">S68/$Z68</f>
        <v>0.24090633814409446</v>
      </c>
      <c r="AI68" s="7"/>
      <c r="AJ68" s="6">
        <f t="shared" ref="AJ68:AJ69" si="100">U68/$Z68</f>
        <v>0.18788204072073006</v>
      </c>
      <c r="AK68" s="6">
        <f t="shared" ref="AK68:AK69" si="101">V68/$Z68</f>
        <v>0.12272493196723699</v>
      </c>
      <c r="AL68" s="7"/>
      <c r="AM68" s="6">
        <f t="shared" ref="AM68:AM69" si="102">X68/$Z68</f>
        <v>0.12116115453222139</v>
      </c>
      <c r="AN68" s="6">
        <f t="shared" ref="AN68:AN69" si="103">Y68/$Z68</f>
        <v>0.32732553463571706</v>
      </c>
      <c r="AO68" s="6">
        <f t="shared" ref="AO68:AO69" si="104">SUM(AH68:AN68)</f>
        <v>1</v>
      </c>
      <c r="AP68" s="7">
        <f t="shared" ref="AP68:AP69" si="105">SUM(AH68:AM68)</f>
        <v>0.67267446536428299</v>
      </c>
      <c r="AQ68" s="7">
        <f t="shared" ref="AQ68:AQ69" si="106">AO68-(AP68+AN68)</f>
        <v>0</v>
      </c>
      <c r="AR68" s="7"/>
      <c r="AS68">
        <f t="shared" si="40"/>
        <v>2013</v>
      </c>
      <c r="AT68" s="2">
        <f t="shared" si="73"/>
        <v>82577.755663044431</v>
      </c>
      <c r="AU68" s="2"/>
      <c r="AV68" s="2">
        <f t="shared" si="74"/>
        <v>64402.113168274649</v>
      </c>
      <c r="AW68" s="2">
        <f t="shared" si="75"/>
        <v>42067.591595255333</v>
      </c>
      <c r="AX68" s="2"/>
      <c r="AY68" s="2">
        <f t="shared" si="76"/>
        <v>41531.560738056127</v>
      </c>
      <c r="AZ68" s="2">
        <f t="shared" si="77"/>
        <v>112200.48517468297</v>
      </c>
      <c r="BA68" s="2">
        <f t="shared" si="78"/>
        <v>342779.50633931352</v>
      </c>
      <c r="BB68" s="2">
        <f t="shared" si="79"/>
        <v>0</v>
      </c>
      <c r="BC68" s="2"/>
      <c r="BM68" s="24"/>
      <c r="BO68" s="1"/>
      <c r="BQ68" s="1"/>
      <c r="BR68" s="1"/>
      <c r="BT68" s="1"/>
      <c r="BU68" s="1"/>
      <c r="BV68" s="1"/>
      <c r="CH68" s="2"/>
    </row>
    <row r="69" spans="1:86" x14ac:dyDescent="0.2">
      <c r="A69">
        <f t="shared" si="9"/>
        <v>2014</v>
      </c>
      <c r="B69" s="2">
        <f t="shared" si="52"/>
        <v>93734.010453121737</v>
      </c>
      <c r="C69" s="2"/>
      <c r="D69" s="2">
        <f t="shared" ref="D69:E69" si="107">AV68*(1+(D30/100))</f>
        <v>73160.800559160009</v>
      </c>
      <c r="E69" s="2">
        <f t="shared" si="107"/>
        <v>45167.973095825655</v>
      </c>
      <c r="F69" s="2"/>
      <c r="G69" s="2">
        <f t="shared" ref="G69:H69" si="108">AY68*(1+(G30/100))</f>
        <v>39770.622562762546</v>
      </c>
      <c r="H69" s="2">
        <f t="shared" si="108"/>
        <v>118663.23312074471</v>
      </c>
      <c r="I69" s="2">
        <f t="shared" si="82"/>
        <v>370496.63979161467</v>
      </c>
      <c r="J69" s="2">
        <f t="shared" si="83"/>
        <v>18899.432654963806</v>
      </c>
      <c r="K69" s="83">
        <f t="shared" si="84"/>
        <v>5.3753079578980845E-2</v>
      </c>
      <c r="L69" s="7">
        <f t="shared" si="85"/>
        <v>1.0537530795789809</v>
      </c>
      <c r="N69">
        <f t="shared" si="86"/>
        <v>2014</v>
      </c>
      <c r="O69" s="2">
        <f t="shared" si="31"/>
        <v>8931.4491376230453</v>
      </c>
      <c r="P69" s="2"/>
      <c r="R69">
        <f t="shared" si="87"/>
        <v>2014</v>
      </c>
      <c r="S69" s="2">
        <f t="shared" si="88"/>
        <v>91947.720625597125</v>
      </c>
      <c r="T69" s="2"/>
      <c r="U69" s="2">
        <f t="shared" si="89"/>
        <v>71374.510731635397</v>
      </c>
      <c r="V69" s="2">
        <f t="shared" si="90"/>
        <v>43381.683268301043</v>
      </c>
      <c r="W69" s="2"/>
      <c r="X69" s="2">
        <f t="shared" si="91"/>
        <v>37984.332735237935</v>
      </c>
      <c r="Y69" s="2">
        <f t="shared" si="92"/>
        <v>116876.9432932201</v>
      </c>
      <c r="Z69" s="2">
        <f t="shared" si="93"/>
        <v>361565.19065399159</v>
      </c>
      <c r="AA69" s="2">
        <f t="shared" si="94"/>
        <v>18785.684314678074</v>
      </c>
      <c r="AB69" s="83">
        <f t="shared" si="95"/>
        <v>5.4803989057859076E-2</v>
      </c>
      <c r="AC69" s="7">
        <f t="shared" si="96"/>
        <v>1.0548039890578591</v>
      </c>
      <c r="AD69" s="2">
        <f t="shared" si="97"/>
        <v>0</v>
      </c>
      <c r="AE69" s="2"/>
      <c r="AG69">
        <f t="shared" si="98"/>
        <v>2014</v>
      </c>
      <c r="AH69" s="6">
        <f t="shared" si="99"/>
        <v>0.25430468143043305</v>
      </c>
      <c r="AI69" s="7"/>
      <c r="AJ69" s="6">
        <f t="shared" si="100"/>
        <v>0.19740426505807893</v>
      </c>
      <c r="AK69" s="6">
        <f t="shared" si="101"/>
        <v>0.119983019354914</v>
      </c>
      <c r="AL69" s="7"/>
      <c r="AM69" s="6">
        <f t="shared" si="102"/>
        <v>0.10505528108646926</v>
      </c>
      <c r="AN69" s="6">
        <f t="shared" si="103"/>
        <v>0.32325275307010476</v>
      </c>
      <c r="AO69" s="6">
        <f t="shared" si="104"/>
        <v>1</v>
      </c>
      <c r="AP69" s="7">
        <f t="shared" si="105"/>
        <v>0.67674724692989519</v>
      </c>
      <c r="AQ69" s="7">
        <f t="shared" si="106"/>
        <v>0</v>
      </c>
      <c r="AR69" s="7"/>
      <c r="AS69">
        <f t="shared" si="40"/>
        <v>2014</v>
      </c>
      <c r="AT69" s="2">
        <f t="shared" si="73"/>
        <v>91947.720625597125</v>
      </c>
      <c r="AU69" s="2"/>
      <c r="AV69" s="2">
        <f t="shared" si="74"/>
        <v>71374.510731635397</v>
      </c>
      <c r="AW69" s="2">
        <f t="shared" si="75"/>
        <v>43381.683268301043</v>
      </c>
      <c r="AX69" s="2"/>
      <c r="AY69" s="2">
        <f t="shared" si="76"/>
        <v>37984.332735237935</v>
      </c>
      <c r="AZ69" s="2">
        <f t="shared" si="77"/>
        <v>116876.9432932201</v>
      </c>
      <c r="BA69" s="2">
        <f t="shared" si="78"/>
        <v>361565.19065399159</v>
      </c>
      <c r="BB69" s="2">
        <f t="shared" si="79"/>
        <v>0</v>
      </c>
      <c r="BC69" s="2"/>
      <c r="BM69" s="24"/>
      <c r="BN69">
        <f t="shared" si="5"/>
        <v>2014</v>
      </c>
      <c r="BO69" s="1" t="b">
        <f t="shared" si="41"/>
        <v>0</v>
      </c>
      <c r="BQ69" s="1" t="b">
        <f t="shared" si="62"/>
        <v>1</v>
      </c>
      <c r="BR69" s="1" t="b">
        <f t="shared" si="63"/>
        <v>1</v>
      </c>
      <c r="BT69" s="1" t="b">
        <f t="shared" si="70"/>
        <v>0</v>
      </c>
      <c r="BU69" s="28" t="b">
        <f t="shared" si="43"/>
        <v>1</v>
      </c>
      <c r="BV69" s="1" t="b">
        <f t="shared" si="44"/>
        <v>1</v>
      </c>
      <c r="CH69" t="s">
        <v>173</v>
      </c>
    </row>
    <row r="70" spans="1:86" x14ac:dyDescent="0.2">
      <c r="A70">
        <f t="shared" si="9"/>
        <v>2015</v>
      </c>
      <c r="B70" s="2">
        <f t="shared" si="52"/>
        <v>93097.067133417091</v>
      </c>
      <c r="C70" s="2"/>
      <c r="D70" s="2">
        <f t="shared" ref="D70:E73" si="109">AV69*(1+(D31/100))</f>
        <v>70332.442874953529</v>
      </c>
      <c r="E70" s="2">
        <f t="shared" si="109"/>
        <v>41741.855640759262</v>
      </c>
      <c r="F70" s="2"/>
      <c r="G70" s="2">
        <f t="shared" ref="G70:H73" si="110">AY69*(1+(G31/100))</f>
        <v>36324.417394708042</v>
      </c>
      <c r="H70" s="2">
        <f t="shared" si="110"/>
        <v>117227.57412309975</v>
      </c>
      <c r="I70" s="2">
        <f t="shared" ref="I70" si="111">SUM(B70:H70)</f>
        <v>358723.35716693767</v>
      </c>
      <c r="J70" s="2">
        <f t="shared" ref="J70" si="112">I70-I69</f>
        <v>-11773.282624676998</v>
      </c>
      <c r="K70" s="83">
        <f t="shared" ref="K70" si="113">(J70/I69)</f>
        <v>-3.1777029425418983E-2</v>
      </c>
      <c r="L70" s="7">
        <f t="shared" ref="L70" si="114">K70+1</f>
        <v>0.96822297057458107</v>
      </c>
      <c r="N70">
        <f t="shared" ref="N70" si="115">A70</f>
        <v>2015</v>
      </c>
      <c r="O70" s="2">
        <f t="shared" si="31"/>
        <v>8970.7475138285863</v>
      </c>
      <c r="P70" s="2"/>
      <c r="R70">
        <f t="shared" ref="R70" si="116">A70</f>
        <v>2015</v>
      </c>
      <c r="S70" s="2">
        <f t="shared" ref="S70" si="117">B70-($O70/5)</f>
        <v>91302.917630651369</v>
      </c>
      <c r="T70" s="2"/>
      <c r="U70" s="2">
        <f t="shared" ref="U70" si="118">D70-($O70/5)</f>
        <v>68538.293372187807</v>
      </c>
      <c r="V70" s="2">
        <f t="shared" ref="V70" si="119">E70-($O70/5)</f>
        <v>39947.706137993548</v>
      </c>
      <c r="W70" s="2"/>
      <c r="X70" s="2">
        <f t="shared" ref="X70" si="120">G70-($O70/5)</f>
        <v>34530.267891942327</v>
      </c>
      <c r="Y70" s="2">
        <f t="shared" ref="Y70" si="121">H70-($O70/5)</f>
        <v>115433.42462033403</v>
      </c>
      <c r="Z70" s="2">
        <f t="shared" ref="Z70" si="122">SUM(S70:Y70)</f>
        <v>349752.6096531091</v>
      </c>
      <c r="AA70" s="2">
        <f t="shared" ref="AA70" si="123">Z70-Z69</f>
        <v>-11812.581000882492</v>
      </c>
      <c r="AB70" s="83">
        <f t="shared" ref="AB70" si="124">(AA70/Z69)</f>
        <v>-3.2670680989826874E-2</v>
      </c>
      <c r="AC70" s="7">
        <f t="shared" ref="AC70" si="125">AB70+1</f>
        <v>0.96732931901017316</v>
      </c>
      <c r="AD70" s="2">
        <f t="shared" ref="AD70" si="126">Z70-(I70-O70)</f>
        <v>0</v>
      </c>
      <c r="AE70" s="2"/>
      <c r="AG70">
        <f t="shared" ref="AG70" si="127">A70</f>
        <v>2015</v>
      </c>
      <c r="AH70" s="6">
        <f t="shared" ref="AH70" si="128">S70/$Z70</f>
        <v>0.26104999679975865</v>
      </c>
      <c r="AI70" s="7"/>
      <c r="AJ70" s="6">
        <f t="shared" ref="AJ70" si="129">U70/$Z70</f>
        <v>0.19596220723032007</v>
      </c>
      <c r="AK70" s="6">
        <f t="shared" ref="AK70" si="130">V70/$Z70</f>
        <v>0.1142170352284559</v>
      </c>
      <c r="AL70" s="7"/>
      <c r="AM70" s="6">
        <f t="shared" ref="AM70" si="131">X70/$Z70</f>
        <v>9.8727691913979038E-2</v>
      </c>
      <c r="AN70" s="6">
        <f t="shared" ref="AN70" si="132">Y70/$Z70</f>
        <v>0.3300430688274863</v>
      </c>
      <c r="AO70" s="6">
        <f t="shared" ref="AO70" si="133">SUM(AH70:AN70)</f>
        <v>1</v>
      </c>
      <c r="AP70" s="7">
        <f t="shared" ref="AP70" si="134">SUM(AH70:AM70)</f>
        <v>0.66995693117251365</v>
      </c>
      <c r="AQ70" s="7">
        <f t="shared" ref="AQ70" si="135">AO70-(AP70+AN70)</f>
        <v>0</v>
      </c>
      <c r="AR70" s="7"/>
      <c r="AS70">
        <f t="shared" ref="AS70" si="136">A70</f>
        <v>2015</v>
      </c>
      <c r="AT70" s="2">
        <f t="shared" ref="AT70" si="137">S70</f>
        <v>91302.917630651369</v>
      </c>
      <c r="AU70" s="2"/>
      <c r="AV70" s="2">
        <f t="shared" ref="AV70" si="138">U70</f>
        <v>68538.293372187807</v>
      </c>
      <c r="AW70" s="2">
        <f t="shared" ref="AW70" si="139">V70</f>
        <v>39947.706137993548</v>
      </c>
      <c r="AX70" s="2"/>
      <c r="AY70" s="2">
        <f t="shared" ref="AY70" si="140">X70</f>
        <v>34530.267891942327</v>
      </c>
      <c r="AZ70" s="2">
        <f t="shared" ref="AZ70" si="141">Y70</f>
        <v>115433.42462033403</v>
      </c>
      <c r="BA70" s="2">
        <f t="shared" ref="BA70" si="142">Z70</f>
        <v>349752.6096531091</v>
      </c>
      <c r="BB70" s="2">
        <f t="shared" ref="BB70" si="143">SUM(AT70:AZ70)-Z70</f>
        <v>0</v>
      </c>
      <c r="BC70" s="2"/>
      <c r="BM70" s="24"/>
      <c r="BO70" s="1"/>
      <c r="BQ70" s="1"/>
      <c r="BR70" s="1"/>
      <c r="BT70" s="1"/>
      <c r="BU70" s="28"/>
      <c r="BV70" s="1"/>
    </row>
    <row r="71" spans="1:86" x14ac:dyDescent="0.2">
      <c r="A71">
        <f t="shared" si="9"/>
        <v>2016</v>
      </c>
      <c r="B71" s="2">
        <f t="shared" si="52"/>
        <v>102094.92249459437</v>
      </c>
      <c r="C71" s="2"/>
      <c r="D71" s="2">
        <f t="shared" si="109"/>
        <v>76125.482448488998</v>
      </c>
      <c r="E71" s="2">
        <f t="shared" si="109"/>
        <v>47206.204343266974</v>
      </c>
      <c r="F71" s="2"/>
      <c r="G71" s="2">
        <f t="shared" si="110"/>
        <v>36135.925348917648</v>
      </c>
      <c r="H71" s="2">
        <f t="shared" si="110"/>
        <v>118319.26023584238</v>
      </c>
      <c r="I71" s="2">
        <f t="shared" ref="I71" si="144">SUM(B71:H71)</f>
        <v>379881.79487111035</v>
      </c>
      <c r="J71" s="2">
        <f t="shared" ref="J71" si="145">I71-I70</f>
        <v>21158.437704172684</v>
      </c>
      <c r="K71" s="83">
        <f t="shared" ref="K71" si="146">(J71/I70)</f>
        <v>5.8982603952176624E-2</v>
      </c>
      <c r="L71" s="7">
        <f t="shared" ref="L71" si="147">K71+1</f>
        <v>1.0589826039521766</v>
      </c>
      <c r="N71">
        <f t="shared" ref="N71" si="148">A71</f>
        <v>2016</v>
      </c>
      <c r="O71" s="2">
        <f t="shared" si="31"/>
        <v>9123.2502215636723</v>
      </c>
      <c r="P71" s="2"/>
      <c r="R71">
        <f t="shared" ref="R71" si="149">A71</f>
        <v>2016</v>
      </c>
      <c r="S71" s="2">
        <f t="shared" ref="S71" si="150">B71-($O71/5)</f>
        <v>100270.27245028164</v>
      </c>
      <c r="T71" s="2"/>
      <c r="U71" s="2">
        <f t="shared" ref="U71" si="151">D71-($O71/5)</f>
        <v>74300.832404176268</v>
      </c>
      <c r="V71" s="2">
        <f t="shared" ref="V71" si="152">E71-($O71/5)</f>
        <v>45381.554298954237</v>
      </c>
      <c r="W71" s="2"/>
      <c r="X71" s="2">
        <f t="shared" ref="X71" si="153">G71-($O71/5)</f>
        <v>34311.275304604911</v>
      </c>
      <c r="Y71" s="2">
        <f t="shared" ref="Y71" si="154">H71-($O71/5)</f>
        <v>116494.61019152965</v>
      </c>
      <c r="Z71" s="2">
        <f t="shared" ref="Z71" si="155">SUM(S71:Y71)</f>
        <v>370758.54464954667</v>
      </c>
      <c r="AA71" s="2">
        <f t="shared" ref="AA71" si="156">Z71-Z70</f>
        <v>21005.934996437572</v>
      </c>
      <c r="AB71" s="83">
        <f t="shared" ref="AB71" si="157">(AA71/Z70)</f>
        <v>6.0059408898397171E-2</v>
      </c>
      <c r="AC71" s="7">
        <f t="shared" ref="AC71" si="158">AB71+1</f>
        <v>1.0600594088983972</v>
      </c>
      <c r="AD71" s="2">
        <f t="shared" ref="AD71" si="159">Z71-(I71-O71)</f>
        <v>0</v>
      </c>
      <c r="AE71" s="2"/>
      <c r="AG71">
        <f t="shared" ref="AG71" si="160">A71</f>
        <v>2016</v>
      </c>
      <c r="AH71" s="6">
        <f t="shared" ref="AH71" si="161">S71/$Z71</f>
        <v>0.27044628882406591</v>
      </c>
      <c r="AI71" s="7"/>
      <c r="AJ71" s="6">
        <f t="shared" ref="AJ71" si="162">U71/$Z71</f>
        <v>0.20040221183414098</v>
      </c>
      <c r="AK71" s="6">
        <f t="shared" ref="AK71" si="163">V71/$Z71</f>
        <v>0.12240191076877377</v>
      </c>
      <c r="AL71" s="7"/>
      <c r="AM71" s="6">
        <f t="shared" ref="AM71" si="164">X71/$Z71</f>
        <v>9.2543451256226802E-2</v>
      </c>
      <c r="AN71" s="6">
        <f t="shared" ref="AN71" si="165">Y71/$Z71</f>
        <v>0.31420613731679259</v>
      </c>
      <c r="AO71" s="6">
        <f t="shared" ref="AO71" si="166">SUM(AH71:AN71)</f>
        <v>1</v>
      </c>
      <c r="AP71" s="7">
        <f t="shared" ref="AP71" si="167">SUM(AH71:AM71)</f>
        <v>0.68579386268320741</v>
      </c>
      <c r="AQ71" s="7">
        <f t="shared" ref="AQ71" si="168">AO71-(AP71+AN71)</f>
        <v>0</v>
      </c>
      <c r="AR71" s="7"/>
      <c r="AS71">
        <f t="shared" ref="AS71" si="169">A71</f>
        <v>2016</v>
      </c>
      <c r="AT71" s="2">
        <f t="shared" ref="AT71" si="170">S71</f>
        <v>100270.27245028164</v>
      </c>
      <c r="AU71" s="2"/>
      <c r="AV71" s="2">
        <f t="shared" ref="AV71" si="171">U71</f>
        <v>74300.832404176268</v>
      </c>
      <c r="AW71" s="2">
        <f t="shared" ref="AW71" si="172">V71</f>
        <v>45381.554298954237</v>
      </c>
      <c r="AX71" s="2"/>
      <c r="AY71" s="2">
        <f t="shared" ref="AY71" si="173">X71</f>
        <v>34311.275304604911</v>
      </c>
      <c r="AZ71" s="2">
        <f t="shared" ref="AZ71" si="174">Y71</f>
        <v>116494.61019152965</v>
      </c>
      <c r="BA71" s="2">
        <f t="shared" ref="BA71" si="175">Z71</f>
        <v>370758.54464954667</v>
      </c>
      <c r="BB71" s="2">
        <f t="shared" ref="BB71" si="176">SUM(AT71:AZ71)-Z71</f>
        <v>0</v>
      </c>
      <c r="BC71" s="2"/>
      <c r="BM71" s="24"/>
      <c r="BO71" s="1"/>
      <c r="BQ71" s="1"/>
      <c r="BR71" s="1"/>
      <c r="BT71" s="1"/>
      <c r="BU71" s="28"/>
      <c r="BV71" s="1"/>
    </row>
    <row r="72" spans="1:86" x14ac:dyDescent="0.2">
      <c r="A72">
        <f t="shared" si="9"/>
        <v>2017</v>
      </c>
      <c r="B72" s="2">
        <f t="shared" si="52"/>
        <v>121998.84049025766</v>
      </c>
      <c r="C72" s="2"/>
      <c r="D72" s="2">
        <f t="shared" si="109"/>
        <v>88863.795555394812</v>
      </c>
      <c r="E72" s="2">
        <f t="shared" si="109"/>
        <v>52687.984541085869</v>
      </c>
      <c r="F72" s="2"/>
      <c r="G72" s="2">
        <f t="shared" si="110"/>
        <v>43712.564738066656</v>
      </c>
      <c r="H72" s="2">
        <f t="shared" si="110"/>
        <v>120525.32370415657</v>
      </c>
      <c r="I72" s="2">
        <f>SUM(B72:H72)</f>
        <v>427788.50902896153</v>
      </c>
      <c r="J72" s="2">
        <f>I72-I71</f>
        <v>47906.71415785118</v>
      </c>
      <c r="K72" s="83">
        <f>(J72/I71)</f>
        <v>0.12610952881831411</v>
      </c>
      <c r="L72" s="7">
        <f>K72+1</f>
        <v>1.1261095288183141</v>
      </c>
      <c r="N72">
        <f>A72</f>
        <v>2017</v>
      </c>
      <c r="O72" s="2">
        <f t="shared" si="31"/>
        <v>9326.6987015045415</v>
      </c>
      <c r="P72" s="2"/>
      <c r="R72">
        <f>A72</f>
        <v>2017</v>
      </c>
      <c r="S72" s="2">
        <f>B72-($O72/5)</f>
        <v>120133.50074995674</v>
      </c>
      <c r="T72" s="2"/>
      <c r="U72" s="2">
        <f t="shared" ref="U72:V73" si="177">D72-($O72/5)</f>
        <v>86998.455815093897</v>
      </c>
      <c r="V72" s="2">
        <f t="shared" si="177"/>
        <v>50822.644800784961</v>
      </c>
      <c r="W72" s="2"/>
      <c r="X72" s="2">
        <f t="shared" ref="X72:Y73" si="178">G72-($O72/5)</f>
        <v>41847.224997765748</v>
      </c>
      <c r="Y72" s="2">
        <f t="shared" si="178"/>
        <v>118659.98396385566</v>
      </c>
      <c r="Z72" s="2">
        <f>SUM(S72:Y72)</f>
        <v>418461.81032745703</v>
      </c>
      <c r="AA72" s="2">
        <f>Z72-Z71</f>
        <v>47703.265677910356</v>
      </c>
      <c r="AB72" s="83">
        <f>(AA72/Z71)</f>
        <v>0.12866396841373157</v>
      </c>
      <c r="AC72" s="7">
        <f>AB72+1</f>
        <v>1.1286639684137316</v>
      </c>
      <c r="AD72" s="2">
        <f>Z72-(I72-O72)</f>
        <v>0</v>
      </c>
      <c r="AE72" s="2"/>
      <c r="AG72">
        <f>A72</f>
        <v>2017</v>
      </c>
      <c r="AH72" s="6">
        <f>S72/$Z72</f>
        <v>0.28708354689750354</v>
      </c>
      <c r="AI72" s="7"/>
      <c r="AJ72" s="6">
        <f t="shared" ref="AJ72:AK73" si="179">U72/$Z72</f>
        <v>0.20790058654818558</v>
      </c>
      <c r="AK72" s="6">
        <f t="shared" si="179"/>
        <v>0.1214510943328734</v>
      </c>
      <c r="AL72" s="7"/>
      <c r="AM72" s="6">
        <f t="shared" ref="AM72:AN73" si="180">X72/$Z72</f>
        <v>0.10000249476772857</v>
      </c>
      <c r="AN72" s="6">
        <f t="shared" si="180"/>
        <v>0.28356227745370888</v>
      </c>
      <c r="AO72" s="6">
        <f>SUM(AH72:AN72)</f>
        <v>1</v>
      </c>
      <c r="AP72" s="7">
        <f>SUM(AH72:AM72)</f>
        <v>0.71643772254629112</v>
      </c>
      <c r="AQ72" s="7">
        <f>AO72-(AP72+AN72)</f>
        <v>0</v>
      </c>
      <c r="AR72" s="7"/>
      <c r="AS72">
        <f>A72</f>
        <v>2017</v>
      </c>
      <c r="AT72" s="2">
        <f>S72</f>
        <v>120133.50074995674</v>
      </c>
      <c r="AU72" s="2"/>
      <c r="AV72" s="2">
        <f t="shared" ref="AV72:AW73" si="181">U72</f>
        <v>86998.455815093897</v>
      </c>
      <c r="AW72" s="2">
        <f t="shared" si="181"/>
        <v>50822.644800784961</v>
      </c>
      <c r="AX72" s="2"/>
      <c r="AY72" s="2">
        <f t="shared" ref="AY72:BA73" si="182">X72</f>
        <v>41847.224997765748</v>
      </c>
      <c r="AZ72" s="2">
        <f t="shared" si="182"/>
        <v>118659.98396385566</v>
      </c>
      <c r="BA72" s="2">
        <f t="shared" si="182"/>
        <v>418461.81032745703</v>
      </c>
      <c r="BB72" s="2">
        <f>SUM(AT72:AZ72)-Z72</f>
        <v>0</v>
      </c>
      <c r="BC72" s="2"/>
      <c r="BM72" s="24"/>
      <c r="BO72" s="1"/>
      <c r="BQ72" s="1"/>
      <c r="BR72" s="1"/>
      <c r="BT72" s="1"/>
      <c r="BU72" s="28"/>
      <c r="BV72" s="1"/>
    </row>
    <row r="73" spans="1:86" x14ac:dyDescent="0.2">
      <c r="A73">
        <f t="shared" si="9"/>
        <v>2018</v>
      </c>
      <c r="B73" s="2">
        <f t="shared" si="52"/>
        <v>114727.49321620869</v>
      </c>
      <c r="C73" s="2"/>
      <c r="D73" s="2">
        <f t="shared" si="109"/>
        <v>78907.599424290165</v>
      </c>
      <c r="E73" s="2">
        <f t="shared" si="109"/>
        <v>46045.316189511177</v>
      </c>
      <c r="F73" s="2"/>
      <c r="G73" s="2">
        <f t="shared" si="110"/>
        <v>35779.377373089716</v>
      </c>
      <c r="H73" s="2">
        <f t="shared" si="110"/>
        <v>118541.32397989181</v>
      </c>
      <c r="I73" s="2">
        <f>SUM(B73:H73)</f>
        <v>394001.1101829916</v>
      </c>
      <c r="J73" s="2">
        <f>I73-I72</f>
        <v>-33787.398845969932</v>
      </c>
      <c r="K73" s="83">
        <f>(J73/I72)</f>
        <v>-7.8981548435380022E-2</v>
      </c>
      <c r="L73" s="7">
        <f>K73+1</f>
        <v>0.92101845156462003</v>
      </c>
      <c r="N73">
        <f>A73</f>
        <v>2018</v>
      </c>
      <c r="O73" s="2">
        <f t="shared" si="31"/>
        <v>9532.7138277670056</v>
      </c>
      <c r="P73" s="2"/>
      <c r="R73">
        <f>A73</f>
        <v>2018</v>
      </c>
      <c r="S73" s="2">
        <f>B73-($O73/5)</f>
        <v>112820.95045065529</v>
      </c>
      <c r="T73" s="2"/>
      <c r="U73" s="2">
        <f t="shared" si="177"/>
        <v>77001.056658736765</v>
      </c>
      <c r="V73" s="2">
        <f t="shared" si="177"/>
        <v>44138.773423957777</v>
      </c>
      <c r="W73" s="2"/>
      <c r="X73" s="2">
        <f t="shared" si="178"/>
        <v>33872.834607536315</v>
      </c>
      <c r="Y73" s="2">
        <f t="shared" si="178"/>
        <v>116634.78121433841</v>
      </c>
      <c r="Z73" s="2">
        <f>SUM(S73:Y73)</f>
        <v>384468.39635522454</v>
      </c>
      <c r="AA73" s="2">
        <f>Z73-Z72</f>
        <v>-33993.413972232491</v>
      </c>
      <c r="AB73" s="83">
        <f>(AA73/Z72)</f>
        <v>-8.1234208554495757E-2</v>
      </c>
      <c r="AC73" s="7">
        <f>AB73+1</f>
        <v>0.9187657914455043</v>
      </c>
      <c r="AD73" s="2">
        <f>Z73-(I73-O73)</f>
        <v>0</v>
      </c>
      <c r="AE73" s="2"/>
      <c r="AG73">
        <f>A73</f>
        <v>2018</v>
      </c>
      <c r="AH73" s="6">
        <f>S73/$Z73</f>
        <v>0.2934466175118744</v>
      </c>
      <c r="AI73" s="7"/>
      <c r="AJ73" s="6">
        <f t="shared" si="179"/>
        <v>0.20027928794332589</v>
      </c>
      <c r="AK73" s="6">
        <f t="shared" si="179"/>
        <v>0.11480468574893302</v>
      </c>
      <c r="AL73" s="7"/>
      <c r="AM73" s="6">
        <f t="shared" si="180"/>
        <v>8.8103040272365984E-2</v>
      </c>
      <c r="AN73" s="6">
        <f t="shared" si="180"/>
        <v>0.30336636852350074</v>
      </c>
      <c r="AO73" s="6">
        <f>SUM(AH73:AN73)</f>
        <v>1</v>
      </c>
      <c r="AP73" s="7">
        <f>SUM(AH73:AM73)</f>
        <v>0.69663363147649937</v>
      </c>
      <c r="AQ73" s="7">
        <f>AO73-(AP73+AN73)</f>
        <v>0</v>
      </c>
      <c r="AR73" s="7"/>
      <c r="AS73">
        <f>A73</f>
        <v>2018</v>
      </c>
      <c r="AT73" s="2">
        <f>S73</f>
        <v>112820.95045065529</v>
      </c>
      <c r="AU73" s="2"/>
      <c r="AV73" s="2">
        <f t="shared" si="181"/>
        <v>77001.056658736765</v>
      </c>
      <c r="AW73" s="2">
        <f t="shared" si="181"/>
        <v>44138.773423957777</v>
      </c>
      <c r="AX73" s="2"/>
      <c r="AY73" s="2">
        <f t="shared" si="182"/>
        <v>33872.834607536315</v>
      </c>
      <c r="AZ73" s="2">
        <f t="shared" si="182"/>
        <v>116634.78121433841</v>
      </c>
      <c r="BA73" s="2">
        <f t="shared" si="182"/>
        <v>384468.39635522454</v>
      </c>
      <c r="BB73" s="2">
        <f>SUM(AT73:AZ73)-Z73</f>
        <v>0</v>
      </c>
      <c r="BC73" s="2"/>
      <c r="BM73" s="24"/>
      <c r="BO73" s="1"/>
      <c r="BQ73" s="1"/>
      <c r="BR73" s="1"/>
      <c r="BT73" s="1"/>
      <c r="BU73" s="28"/>
      <c r="BV73" s="1"/>
    </row>
    <row r="74" spans="1:86" x14ac:dyDescent="0.2">
      <c r="A74">
        <f t="shared" ref="A74:A75" si="183">A35</f>
        <v>2019</v>
      </c>
      <c r="B74" s="2">
        <f t="shared" ref="B74:B75" si="184">AT73*(1+(B35/100))</f>
        <v>148309.90862441342</v>
      </c>
      <c r="C74" s="2"/>
      <c r="D74" s="2">
        <f t="shared" ref="D74:E74" si="185">AV73*(1+(D35/100))</f>
        <v>100895.71655684932</v>
      </c>
      <c r="E74" s="2">
        <f t="shared" si="185"/>
        <v>56218.408101985995</v>
      </c>
      <c r="F74" s="2"/>
      <c r="G74" s="2">
        <f t="shared" ref="G74:H74" si="186">AY73*(1+(G35/100))</f>
        <v>41158.203874925224</v>
      </c>
      <c r="H74" s="2">
        <f t="shared" si="186"/>
        <v>126798.33604935586</v>
      </c>
      <c r="I74" s="2">
        <f t="shared" ref="I74:I75" si="187">SUM(B74:H74)</f>
        <v>473380.57320752979</v>
      </c>
      <c r="J74" s="2">
        <f t="shared" ref="J74:J75" si="188">I74-I73</f>
        <v>79379.463024538185</v>
      </c>
      <c r="K74" s="83">
        <f t="shared" ref="K74:K75" si="189">(J74/I73)</f>
        <v>0.20147015064924775</v>
      </c>
      <c r="L74" s="7">
        <f t="shared" ref="L74:L75" si="190">K74+1</f>
        <v>1.2014701506492478</v>
      </c>
      <c r="N74">
        <f t="shared" ref="N74:N75" si="191">A74</f>
        <v>2019</v>
      </c>
      <c r="O74" s="2">
        <f t="shared" ref="O74:O75" si="192">O73*(1+O35)</f>
        <v>9750.6600396149061</v>
      </c>
      <c r="P74" s="2"/>
      <c r="R74">
        <f t="shared" ref="R74:R75" si="193">A74</f>
        <v>2019</v>
      </c>
      <c r="S74" s="2">
        <f t="shared" ref="S74:S75" si="194">B74-($O74/5)</f>
        <v>146359.77661649045</v>
      </c>
      <c r="T74" s="2"/>
      <c r="U74" s="2">
        <f t="shared" ref="U74:U75" si="195">D74-($O74/5)</f>
        <v>98945.584548926345</v>
      </c>
      <c r="V74" s="2">
        <f t="shared" ref="V74:V75" si="196">E74-($O74/5)</f>
        <v>54268.276094063011</v>
      </c>
      <c r="W74" s="2"/>
      <c r="X74" s="2">
        <f t="shared" ref="X74:X75" si="197">G74-($O74/5)</f>
        <v>39208.07186700224</v>
      </c>
      <c r="Y74" s="2">
        <f t="shared" ref="Y74:Y75" si="198">H74-($O74/5)</f>
        <v>124848.20404143288</v>
      </c>
      <c r="Z74" s="2">
        <f t="shared" ref="Z74:Z75" si="199">SUM(S74:Y74)</f>
        <v>463629.9131679149</v>
      </c>
      <c r="AA74" s="2">
        <f t="shared" ref="AA74:AA75" si="200">Z74-Z73</f>
        <v>79161.516812690359</v>
      </c>
      <c r="AB74" s="83">
        <f t="shared" ref="AB74:AB75" si="201">(AA74/Z73)</f>
        <v>0.20589863188533736</v>
      </c>
      <c r="AC74" s="7">
        <f t="shared" ref="AC74:AC75" si="202">AB74+1</f>
        <v>1.2058986318853373</v>
      </c>
      <c r="AD74" s="2">
        <f t="shared" ref="AD74:AD75" si="203">Z74-(I74-O74)</f>
        <v>0</v>
      </c>
      <c r="AE74" s="2"/>
      <c r="AG74">
        <f t="shared" ref="AG74:AG75" si="204">A74</f>
        <v>2019</v>
      </c>
      <c r="AH74" s="6">
        <f t="shared" ref="AH74:AH75" si="205">S74/$Z74</f>
        <v>0.31568234158239628</v>
      </c>
      <c r="AI74" s="7"/>
      <c r="AJ74" s="6">
        <f t="shared" ref="AJ74:AJ75" si="206">U74/$Z74</f>
        <v>0.21341501430062124</v>
      </c>
      <c r="AK74" s="6">
        <f t="shared" ref="AK74:AK75" si="207">V74/$Z74</f>
        <v>0.11705085145014883</v>
      </c>
      <c r="AL74" s="7"/>
      <c r="AM74" s="6">
        <f t="shared" ref="AM74:AM75" si="208">X74/$Z74</f>
        <v>8.4567606087146668E-2</v>
      </c>
      <c r="AN74" s="6">
        <f t="shared" ref="AN74:AN75" si="209">Y74/$Z74</f>
        <v>0.269284186579687</v>
      </c>
      <c r="AO74" s="6">
        <f t="shared" ref="AO74:AO75" si="210">SUM(AH74:AN74)</f>
        <v>1</v>
      </c>
      <c r="AP74" s="7">
        <f t="shared" ref="AP74:AP75" si="211">SUM(AH74:AM74)</f>
        <v>0.730715813420313</v>
      </c>
      <c r="AQ74" s="7">
        <f t="shared" ref="AQ74:AQ75" si="212">AO74-(AP74+AN74)</f>
        <v>0</v>
      </c>
      <c r="AR74" s="7"/>
      <c r="AS74">
        <f t="shared" ref="AS74:AS75" si="213">A74</f>
        <v>2019</v>
      </c>
      <c r="AT74" s="2">
        <f t="shared" ref="AT74:AT75" si="214">S74</f>
        <v>146359.77661649045</v>
      </c>
      <c r="AU74" s="2"/>
      <c r="AV74" s="2">
        <f t="shared" ref="AV74:AV75" si="215">U74</f>
        <v>98945.584548926345</v>
      </c>
      <c r="AW74" s="2">
        <f t="shared" ref="AW74:AW75" si="216">V74</f>
        <v>54268.276094063011</v>
      </c>
      <c r="AX74" s="2"/>
      <c r="AY74" s="2">
        <f t="shared" ref="AY74:AY75" si="217">X74</f>
        <v>39208.07186700224</v>
      </c>
      <c r="AZ74" s="2">
        <f t="shared" ref="AZ74:AZ75" si="218">Y74</f>
        <v>124848.20404143288</v>
      </c>
      <c r="BA74" s="2">
        <f t="shared" ref="BA74:BA75" si="219">Z74</f>
        <v>463629.9131679149</v>
      </c>
      <c r="BB74" s="2">
        <f t="shared" ref="BB74:BB75" si="220">SUM(AT74:AZ74)-Z74</f>
        <v>0</v>
      </c>
      <c r="BC74" s="2"/>
      <c r="BM74" s="24"/>
      <c r="BO74" s="1"/>
      <c r="BQ74" s="1"/>
      <c r="BR74" s="1"/>
      <c r="BT74" s="1"/>
      <c r="BU74" s="28"/>
      <c r="BV74" s="1"/>
    </row>
    <row r="75" spans="1:86" x14ac:dyDescent="0.2">
      <c r="A75">
        <f t="shared" si="183"/>
        <v>2020</v>
      </c>
      <c r="B75" s="2">
        <f t="shared" si="184"/>
        <v>173246.06758093974</v>
      </c>
      <c r="C75" s="2"/>
      <c r="D75" s="2">
        <f t="shared" ref="D75:E75" si="221">AV74*(1+(D36/100))</f>
        <v>116993.2591706505</v>
      </c>
      <c r="E75" s="2">
        <f t="shared" si="221"/>
        <v>64638.943655638453</v>
      </c>
      <c r="F75" s="2"/>
      <c r="G75" s="2">
        <f t="shared" ref="G75:H75" si="222">AY74*(1+(G36/100))</f>
        <v>43630.742373600093</v>
      </c>
      <c r="H75" s="2">
        <f t="shared" si="222"/>
        <v>134486.4853934315</v>
      </c>
      <c r="I75" s="2">
        <f t="shared" si="187"/>
        <v>532995.49817426025</v>
      </c>
      <c r="J75" s="2">
        <f t="shared" si="188"/>
        <v>59614.924966730468</v>
      </c>
      <c r="K75" s="83">
        <f t="shared" si="189"/>
        <v>0.12593445599761721</v>
      </c>
      <c r="L75" s="7">
        <f t="shared" si="190"/>
        <v>1.1259344559976172</v>
      </c>
      <c r="N75">
        <f t="shared" si="191"/>
        <v>2020</v>
      </c>
      <c r="O75" s="2">
        <f t="shared" si="192"/>
        <v>9861.7013599672828</v>
      </c>
      <c r="P75" s="2"/>
      <c r="R75">
        <f t="shared" si="193"/>
        <v>2020</v>
      </c>
      <c r="S75" s="2">
        <f t="shared" si="194"/>
        <v>171273.72730894628</v>
      </c>
      <c r="T75" s="2"/>
      <c r="U75" s="2">
        <f t="shared" si="195"/>
        <v>115020.91889865705</v>
      </c>
      <c r="V75" s="2">
        <f t="shared" si="196"/>
        <v>62666.603383644993</v>
      </c>
      <c r="W75" s="2"/>
      <c r="X75" s="2">
        <f t="shared" si="197"/>
        <v>41658.40210160664</v>
      </c>
      <c r="Y75" s="2">
        <f t="shared" si="198"/>
        <v>132514.14512143805</v>
      </c>
      <c r="Z75" s="2">
        <f t="shared" si="199"/>
        <v>523133.79681429302</v>
      </c>
      <c r="AA75" s="2">
        <f t="shared" si="200"/>
        <v>59503.883646378119</v>
      </c>
      <c r="AB75" s="83">
        <f t="shared" si="201"/>
        <v>0.12834349543970716</v>
      </c>
      <c r="AC75" s="7">
        <f t="shared" si="202"/>
        <v>1.1283434954397071</v>
      </c>
      <c r="AD75" s="2">
        <f t="shared" si="203"/>
        <v>0</v>
      </c>
      <c r="AE75" s="2"/>
      <c r="AG75">
        <f t="shared" si="204"/>
        <v>2020</v>
      </c>
      <c r="AH75" s="6">
        <f t="shared" si="205"/>
        <v>0.32739946903057127</v>
      </c>
      <c r="AI75" s="7"/>
      <c r="AJ75" s="6">
        <f t="shared" si="206"/>
        <v>0.21986902700436359</v>
      </c>
      <c r="AK75" s="6">
        <f t="shared" si="207"/>
        <v>0.11979077583070202</v>
      </c>
      <c r="AL75" s="7"/>
      <c r="AM75" s="6">
        <f t="shared" si="208"/>
        <v>7.9632404473372109E-2</v>
      </c>
      <c r="AN75" s="6">
        <f t="shared" si="209"/>
        <v>0.25330832366099104</v>
      </c>
      <c r="AO75" s="6">
        <f t="shared" si="210"/>
        <v>1</v>
      </c>
      <c r="AP75" s="7">
        <f t="shared" si="211"/>
        <v>0.74669167633900901</v>
      </c>
      <c r="AQ75" s="7">
        <f t="shared" si="212"/>
        <v>0</v>
      </c>
      <c r="AR75" s="7"/>
      <c r="AS75">
        <f t="shared" si="213"/>
        <v>2020</v>
      </c>
      <c r="AT75" s="2">
        <f t="shared" si="214"/>
        <v>171273.72730894628</v>
      </c>
      <c r="AU75" s="2"/>
      <c r="AV75" s="2">
        <f t="shared" si="215"/>
        <v>115020.91889865705</v>
      </c>
      <c r="AW75" s="2">
        <f t="shared" si="216"/>
        <v>62666.603383644993</v>
      </c>
      <c r="AX75" s="2"/>
      <c r="AY75" s="2">
        <f t="shared" si="217"/>
        <v>41658.40210160664</v>
      </c>
      <c r="AZ75" s="2">
        <f t="shared" si="218"/>
        <v>132514.14512143805</v>
      </c>
      <c r="BA75" s="2">
        <f t="shared" si="219"/>
        <v>523133.79681429302</v>
      </c>
      <c r="BB75" s="2">
        <f t="shared" si="220"/>
        <v>0</v>
      </c>
      <c r="BC75" s="2"/>
      <c r="BM75" s="24"/>
      <c r="BO75" s="1"/>
      <c r="BQ75" s="1"/>
      <c r="BR75" s="1"/>
      <c r="BT75" s="1"/>
      <c r="BU75" s="28"/>
      <c r="BV75" s="1"/>
    </row>
    <row r="76" spans="1:86" x14ac:dyDescent="0.2">
      <c r="A76" s="9" t="s">
        <v>94</v>
      </c>
      <c r="B76" s="10">
        <f>AT73</f>
        <v>112820.95045065529</v>
      </c>
      <c r="C76" s="10"/>
      <c r="D76" s="10">
        <f>AV73</f>
        <v>77001.056658736765</v>
      </c>
      <c r="E76" s="10">
        <f>AW73</f>
        <v>44138.773423957777</v>
      </c>
      <c r="F76" s="10"/>
      <c r="G76" s="10">
        <f>AY73</f>
        <v>33872.834607536315</v>
      </c>
      <c r="H76" s="10">
        <f>AZ73</f>
        <v>116634.78121433841</v>
      </c>
      <c r="I76" s="10">
        <f>SUM(B76:H76)</f>
        <v>384468.39635522454</v>
      </c>
      <c r="J76" s="10"/>
      <c r="K76" s="10"/>
      <c r="L76" s="74"/>
      <c r="N76" t="s">
        <v>156</v>
      </c>
      <c r="O76" s="2">
        <f>O75</f>
        <v>9861.7013599672828</v>
      </c>
      <c r="P76" s="2"/>
      <c r="R76" s="9" t="s">
        <v>94</v>
      </c>
      <c r="S76" s="10">
        <f>S75</f>
        <v>171273.72730894628</v>
      </c>
      <c r="T76" s="10"/>
      <c r="U76" s="10">
        <f>U75</f>
        <v>115020.91889865705</v>
      </c>
      <c r="V76" s="10">
        <f>V75</f>
        <v>62666.603383644993</v>
      </c>
      <c r="W76" s="10"/>
      <c r="X76" s="10">
        <f>X75</f>
        <v>41658.40210160664</v>
      </c>
      <c r="Y76" s="10">
        <f>Y75</f>
        <v>132514.14512143805</v>
      </c>
      <c r="Z76" s="10">
        <f>SUM(S76:Y76)</f>
        <v>523133.79681429302</v>
      </c>
      <c r="AA76" s="10"/>
      <c r="AB76" s="10"/>
      <c r="AC76" s="10"/>
      <c r="AD76" s="10"/>
      <c r="AE76" s="43"/>
      <c r="AG76" s="74" t="s">
        <v>132</v>
      </c>
      <c r="AH76" s="88">
        <f>AH75</f>
        <v>0.32739946903057127</v>
      </c>
      <c r="AI76" s="74"/>
      <c r="AJ76" s="88">
        <f>AJ75</f>
        <v>0.21986902700436359</v>
      </c>
      <c r="AK76" s="74"/>
      <c r="AL76" s="74"/>
      <c r="AM76" s="88">
        <f>AM75</f>
        <v>7.9632404473372109E-2</v>
      </c>
      <c r="AN76" s="88">
        <f>AN75</f>
        <v>0.25330832366099104</v>
      </c>
      <c r="AO76" s="88">
        <f>AO75</f>
        <v>1</v>
      </c>
      <c r="AP76" s="88">
        <f>AP75</f>
        <v>0.74669167633900901</v>
      </c>
      <c r="AQ76" s="88">
        <f>AQ73</f>
        <v>0</v>
      </c>
    </row>
    <row r="77" spans="1:86" x14ac:dyDescent="0.2">
      <c r="A77" s="11" t="s">
        <v>157</v>
      </c>
      <c r="I77" s="6">
        <f>(Z76-Z42)/Z42</f>
        <v>4.2313379681429302</v>
      </c>
      <c r="K77" s="6"/>
      <c r="N77" t="s">
        <v>67</v>
      </c>
      <c r="O77" s="2">
        <f>SUM(O43:O73)</f>
        <v>220686.72954703352</v>
      </c>
      <c r="P77" s="2"/>
      <c r="AJ77" s="7"/>
    </row>
    <row r="78" spans="1:86" x14ac:dyDescent="0.2">
      <c r="A78" s="1" t="s">
        <v>158</v>
      </c>
      <c r="I78" s="12">
        <f>STDEV(AC43:AC75)</f>
        <v>0.10540411169952943</v>
      </c>
      <c r="AK78" s="89"/>
      <c r="AL78" s="89"/>
      <c r="AM78" s="90" t="s">
        <v>134</v>
      </c>
      <c r="AN78" s="89" t="b">
        <f>IF((AN75=AN76),TRUE,FALSE)</f>
        <v>1</v>
      </c>
      <c r="AO78" s="89"/>
      <c r="AP78" s="91" t="b">
        <f>IF(((SUM(AH75:AM75))=AP76),TRUE,FALSE)</f>
        <v>1</v>
      </c>
    </row>
    <row r="79" spans="1:86" x14ac:dyDescent="0.2">
      <c r="A79" s="1" t="s">
        <v>159</v>
      </c>
      <c r="I79" s="13">
        <f>((1+I77)^(1/I86))-1</f>
        <v>5.141978437044048E-2</v>
      </c>
    </row>
    <row r="80" spans="1:86" x14ac:dyDescent="0.2">
      <c r="A80" s="1" t="s">
        <v>98</v>
      </c>
      <c r="I80" s="31">
        <f>J63</f>
        <v>-93408.526170922181</v>
      </c>
      <c r="O80" s="2"/>
      <c r="P80" s="2"/>
    </row>
    <row r="81" spans="1:9" x14ac:dyDescent="0.2">
      <c r="A81" s="1" t="s">
        <v>136</v>
      </c>
      <c r="I81" s="32">
        <f>K63</f>
        <v>-0.26623989470642917</v>
      </c>
    </row>
    <row r="82" spans="1:9" x14ac:dyDescent="0.2">
      <c r="A82" s="1" t="s">
        <v>103</v>
      </c>
      <c r="I82" s="2">
        <f>O77</f>
        <v>220686.72954703352</v>
      </c>
    </row>
    <row r="83" spans="1:9" x14ac:dyDescent="0.2">
      <c r="A83" s="3" t="s">
        <v>165</v>
      </c>
      <c r="B83" s="3"/>
      <c r="C83" s="3"/>
      <c r="D83" s="3"/>
      <c r="E83" s="3"/>
      <c r="F83" s="3"/>
      <c r="G83" s="3"/>
      <c r="H83" s="3"/>
      <c r="I83" s="33">
        <f>I76-Z76</f>
        <v>-138665.40045906848</v>
      </c>
    </row>
    <row r="84" spans="1:9" x14ac:dyDescent="0.2">
      <c r="A84" s="3" t="s">
        <v>138</v>
      </c>
      <c r="B84" s="3"/>
      <c r="C84" s="3"/>
      <c r="D84" s="3"/>
      <c r="E84" s="3"/>
      <c r="F84" s="3"/>
      <c r="G84" s="3"/>
      <c r="H84" s="3"/>
      <c r="I84" s="33">
        <f>((SUM(AA43:AA75)))-(I76-I42)</f>
        <v>138665.40045906848</v>
      </c>
    </row>
    <row r="85" spans="1:9" x14ac:dyDescent="0.2">
      <c r="A85" s="3" t="s">
        <v>160</v>
      </c>
      <c r="B85" s="3"/>
      <c r="C85" s="3"/>
      <c r="D85" s="3"/>
      <c r="E85" s="3"/>
      <c r="F85" s="3"/>
      <c r="G85" s="3"/>
      <c r="H85" s="3"/>
      <c r="I85" s="33">
        <f>(SUM(O43:O75))-I82</f>
        <v>19612.361399582209</v>
      </c>
    </row>
    <row r="86" spans="1:9" x14ac:dyDescent="0.2">
      <c r="A86" s="3" t="s">
        <v>174</v>
      </c>
      <c r="B86" s="3"/>
      <c r="C86" s="3"/>
      <c r="D86" s="3"/>
      <c r="E86" s="3"/>
      <c r="F86" s="3"/>
      <c r="G86" s="3"/>
      <c r="H86" s="3"/>
      <c r="I86" s="75">
        <f>COUNTA(I43:I75)</f>
        <v>33</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6"/>
  <sheetViews>
    <sheetView workbookViewId="0">
      <selection activeCell="G27" sqref="G27"/>
    </sheetView>
  </sheetViews>
  <sheetFormatPr baseColWidth="10" defaultColWidth="8.83203125" defaultRowHeight="15" x14ac:dyDescent="0.2"/>
  <sheetData>
    <row r="1" spans="1:1" x14ac:dyDescent="0.2">
      <c r="A1" s="20" t="s">
        <v>47</v>
      </c>
    </row>
    <row r="3" spans="1:1" x14ac:dyDescent="0.2">
      <c r="A3" t="s">
        <v>48</v>
      </c>
    </row>
    <row r="5" spans="1:1" x14ac:dyDescent="0.2">
      <c r="A5" s="37" t="s">
        <v>49</v>
      </c>
    </row>
    <row r="6" spans="1:1" x14ac:dyDescent="0.2">
      <c r="A6" t="s">
        <v>50</v>
      </c>
    </row>
    <row r="7" spans="1:1" x14ac:dyDescent="0.2">
      <c r="A7" t="s">
        <v>51</v>
      </c>
    </row>
    <row r="8" spans="1:1" x14ac:dyDescent="0.2">
      <c r="A8" t="s">
        <v>52</v>
      </c>
    </row>
    <row r="9" spans="1:1" x14ac:dyDescent="0.2">
      <c r="A9" t="s">
        <v>53</v>
      </c>
    </row>
    <row r="10" spans="1:1" x14ac:dyDescent="0.2">
      <c r="A10" t="s">
        <v>54</v>
      </c>
    </row>
    <row r="11" spans="1:1" x14ac:dyDescent="0.2">
      <c r="A11" s="35" t="s">
        <v>55</v>
      </c>
    </row>
    <row r="12" spans="1:1" x14ac:dyDescent="0.2">
      <c r="A12" s="35" t="s">
        <v>56</v>
      </c>
    </row>
    <row r="13" spans="1:1" x14ac:dyDescent="0.2">
      <c r="A13" s="35" t="s">
        <v>57</v>
      </c>
    </row>
    <row r="14" spans="1:1" x14ac:dyDescent="0.2">
      <c r="A14" s="35" t="s">
        <v>58</v>
      </c>
    </row>
    <row r="16" spans="1:1" x14ac:dyDescent="0.2">
      <c r="A16" s="37" t="s">
        <v>59</v>
      </c>
    </row>
    <row r="17" spans="1:2" x14ac:dyDescent="0.2">
      <c r="A17" s="35" t="s">
        <v>60</v>
      </c>
      <c r="B17" s="35"/>
    </row>
    <row r="18" spans="1:2" x14ac:dyDescent="0.2">
      <c r="A18" s="35" t="s">
        <v>180</v>
      </c>
      <c r="B18" s="35"/>
    </row>
    <row r="19" spans="1:2" x14ac:dyDescent="0.2">
      <c r="A19" s="36">
        <v>0.2</v>
      </c>
      <c r="B19" s="35" t="s">
        <v>61</v>
      </c>
    </row>
    <row r="20" spans="1:2" x14ac:dyDescent="0.2">
      <c r="A20" s="36">
        <v>0.15</v>
      </c>
      <c r="B20" s="35" t="s">
        <v>62</v>
      </c>
    </row>
    <row r="21" spans="1:2" x14ac:dyDescent="0.2">
      <c r="A21" s="36">
        <v>0.1</v>
      </c>
      <c r="B21" s="35" t="s">
        <v>63</v>
      </c>
    </row>
    <row r="22" spans="1:2" x14ac:dyDescent="0.2">
      <c r="A22" s="36">
        <v>0.15</v>
      </c>
      <c r="B22" s="35" t="s">
        <v>64</v>
      </c>
    </row>
    <row r="23" spans="1:2" x14ac:dyDescent="0.2">
      <c r="A23" s="36">
        <v>0</v>
      </c>
      <c r="B23" s="35" t="s">
        <v>65</v>
      </c>
    </row>
    <row r="24" spans="1:2" x14ac:dyDescent="0.2">
      <c r="A24" s="36">
        <v>0.4</v>
      </c>
      <c r="B24" s="35" t="s">
        <v>66</v>
      </c>
    </row>
    <row r="25" spans="1:2" x14ac:dyDescent="0.2">
      <c r="A25" s="36">
        <f>SUM(A19:A24)</f>
        <v>1</v>
      </c>
      <c r="B25" s="35" t="s">
        <v>67</v>
      </c>
    </row>
    <row r="27" spans="1:2" x14ac:dyDescent="0.2">
      <c r="A27" s="37" t="s">
        <v>68</v>
      </c>
    </row>
    <row r="28" spans="1:2" x14ac:dyDescent="0.2">
      <c r="A28" t="s">
        <v>69</v>
      </c>
    </row>
    <row r="29" spans="1:2" x14ac:dyDescent="0.2">
      <c r="A29" t="s">
        <v>70</v>
      </c>
    </row>
    <row r="32" spans="1:2" x14ac:dyDescent="0.2">
      <c r="A32" s="47" t="s">
        <v>71</v>
      </c>
    </row>
    <row r="33" spans="1:1" x14ac:dyDescent="0.2">
      <c r="A33" t="s">
        <v>72</v>
      </c>
    </row>
    <row r="34" spans="1:1" x14ac:dyDescent="0.2">
      <c r="A34" t="s">
        <v>73</v>
      </c>
    </row>
    <row r="35" spans="1:1" x14ac:dyDescent="0.2">
      <c r="A35" t="s">
        <v>74</v>
      </c>
    </row>
    <row r="36" spans="1:1" x14ac:dyDescent="0.2">
      <c r="A36" t="s">
        <v>75</v>
      </c>
    </row>
    <row r="39" spans="1:1" x14ac:dyDescent="0.2">
      <c r="A39" s="47" t="s">
        <v>76</v>
      </c>
    </row>
    <row r="40" spans="1:1" x14ac:dyDescent="0.2">
      <c r="A40" s="48" t="s">
        <v>77</v>
      </c>
    </row>
    <row r="41" spans="1:1" x14ac:dyDescent="0.2">
      <c r="A41" t="s">
        <v>78</v>
      </c>
    </row>
    <row r="42" spans="1:1" x14ac:dyDescent="0.2">
      <c r="A42" t="s">
        <v>79</v>
      </c>
    </row>
    <row r="43" spans="1:1" x14ac:dyDescent="0.2">
      <c r="A43" t="s">
        <v>80</v>
      </c>
    </row>
    <row r="44" spans="1:1" x14ac:dyDescent="0.2">
      <c r="A44" t="s">
        <v>81</v>
      </c>
    </row>
    <row r="46" spans="1:1" x14ac:dyDescent="0.2">
      <c r="A46" t="s">
        <v>82</v>
      </c>
    </row>
  </sheetData>
  <hyperlinks>
    <hyperlink ref="A40"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5" sqref="B25"/>
    </sheetView>
  </sheetViews>
  <sheetFormatPr baseColWidth="10" defaultColWidth="8.83203125" defaultRowHeight="15" x14ac:dyDescent="0.2"/>
  <cols>
    <col min="1" max="1" width="37.1640625" bestFit="1" customWidth="1"/>
    <col min="2" max="2" width="10.83203125" bestFit="1" customWidth="1"/>
  </cols>
  <sheetData>
    <row r="2" spans="1:2" x14ac:dyDescent="0.2">
      <c r="A2" t="s">
        <v>85</v>
      </c>
      <c r="B2" s="2">
        <f>Summary!B12</f>
        <v>1725108.3002474855</v>
      </c>
    </row>
    <row r="3" spans="1:2" x14ac:dyDescent="0.2">
      <c r="A3" t="s">
        <v>176</v>
      </c>
      <c r="B3" s="2">
        <f>Summary!D12</f>
        <v>1244561.3533186903</v>
      </c>
    </row>
  </sheetData>
  <pageMargins left="0.7" right="0.7" top="0.75" bottom="0.75" header="0.3" footer="0.3"/>
  <pageSetup orientation="portrait" r:id="rId1"/>
  <headerFooter>
    <oddFooter>&amp;C&amp;F&amp;A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5"/>
  <sheetViews>
    <sheetView workbookViewId="0">
      <selection activeCell="A34" sqref="A34"/>
    </sheetView>
  </sheetViews>
  <sheetFormatPr baseColWidth="10" defaultColWidth="8.83203125" defaultRowHeight="15" x14ac:dyDescent="0.2"/>
  <cols>
    <col min="2" max="2" width="15.83203125" customWidth="1"/>
    <col min="3" max="3" width="14.6640625" customWidth="1"/>
    <col min="4" max="4" width="13.5" customWidth="1"/>
  </cols>
  <sheetData>
    <row r="1" spans="1:4" ht="48" x14ac:dyDescent="0.2">
      <c r="B1" s="8" t="str">
        <f>Summary!B11</f>
        <v>Rebalance at 5% Thresholds</v>
      </c>
      <c r="C1" s="8" t="str">
        <f>Summary!C11</f>
        <v>No Rebalancing</v>
      </c>
      <c r="D1" s="8" t="str">
        <f>Summary!D11</f>
        <v>Panic and Sell When S&amp;P 500 Falls &gt; 20%</v>
      </c>
    </row>
    <row r="2" spans="1:4" x14ac:dyDescent="0.2">
      <c r="A2" t="s">
        <v>177</v>
      </c>
      <c r="B2" s="64">
        <f>'Non-Rebalanced Portfolio'!I42</f>
        <v>100000</v>
      </c>
      <c r="C2" s="2">
        <f>'Non-Rebalanced Portfolio'!I42</f>
        <v>100000</v>
      </c>
      <c r="D2" s="64">
        <f>'Panic Portfolio'!I42</f>
        <v>100000</v>
      </c>
    </row>
    <row r="3" spans="1:4" x14ac:dyDescent="0.2">
      <c r="A3">
        <f>'Rebalanced Portfolio'!A43</f>
        <v>1988</v>
      </c>
      <c r="B3" s="2">
        <f>'Rebalanced Portfolio'!I43</f>
        <v>113937.44999999998</v>
      </c>
      <c r="C3" s="2">
        <f>'Non-Rebalanced Portfolio'!I43</f>
        <v>113937.44999999998</v>
      </c>
      <c r="D3" s="64">
        <f>'Panic Portfolio'!I43</f>
        <v>113937.44999999998</v>
      </c>
    </row>
    <row r="4" spans="1:4" x14ac:dyDescent="0.2">
      <c r="A4">
        <f>'Rebalanced Portfolio'!A44</f>
        <v>1989</v>
      </c>
      <c r="B4" s="2">
        <f>'Rebalanced Portfolio'!I44</f>
        <v>138924.51883700001</v>
      </c>
      <c r="C4" s="2">
        <f>'Non-Rebalanced Portfolio'!I44</f>
        <v>138924.51883700001</v>
      </c>
      <c r="D4" s="64">
        <f>'Panic Portfolio'!I44</f>
        <v>138924.51883700001</v>
      </c>
    </row>
    <row r="5" spans="1:4" x14ac:dyDescent="0.2">
      <c r="A5">
        <f>'Rebalanced Portfolio'!A45</f>
        <v>1990</v>
      </c>
      <c r="B5" s="2">
        <f>'Rebalanced Portfolio'!I45</f>
        <v>134162.3745174958</v>
      </c>
      <c r="C5" s="2">
        <f>'Non-Rebalanced Portfolio'!I45</f>
        <v>134162.3745174958</v>
      </c>
      <c r="D5" s="64">
        <f>'Panic Portfolio'!I45</f>
        <v>134162.3745174958</v>
      </c>
    </row>
    <row r="6" spans="1:4" x14ac:dyDescent="0.2">
      <c r="A6">
        <f>'Rebalanced Portfolio'!A46</f>
        <v>1991</v>
      </c>
      <c r="B6" s="2">
        <f>'Rebalanced Portfolio'!I46</f>
        <v>166492.77240502308</v>
      </c>
      <c r="C6" s="2">
        <f>'Non-Rebalanced Portfolio'!I46</f>
        <v>166492.77240502308</v>
      </c>
      <c r="D6" s="64">
        <f>'Panic Portfolio'!I46</f>
        <v>166492.77240502308</v>
      </c>
    </row>
    <row r="7" spans="1:4" x14ac:dyDescent="0.2">
      <c r="A7">
        <f>'Rebalanced Portfolio'!A47</f>
        <v>1992</v>
      </c>
      <c r="B7" s="2">
        <f>'Rebalanced Portfolio'!I47</f>
        <v>177466.11826133705</v>
      </c>
      <c r="C7" s="2">
        <f>'Non-Rebalanced Portfolio'!I47</f>
        <v>177466.11826133705</v>
      </c>
      <c r="D7" s="64">
        <f>'Panic Portfolio'!I47</f>
        <v>177466.11826133705</v>
      </c>
    </row>
    <row r="8" spans="1:4" x14ac:dyDescent="0.2">
      <c r="A8">
        <f>'Rebalanced Portfolio'!A48</f>
        <v>1993</v>
      </c>
      <c r="B8" s="2">
        <f>'Rebalanced Portfolio'!I48</f>
        <v>201295.68735613106</v>
      </c>
      <c r="C8" s="2">
        <f>'Non-Rebalanced Portfolio'!I48</f>
        <v>201295.68735613106</v>
      </c>
      <c r="D8" s="64">
        <f>'Panic Portfolio'!I48</f>
        <v>201295.68735613106</v>
      </c>
    </row>
    <row r="9" spans="1:4" x14ac:dyDescent="0.2">
      <c r="A9">
        <f>'Rebalanced Portfolio'!A49</f>
        <v>1994</v>
      </c>
      <c r="B9" s="2">
        <f>'Rebalanced Portfolio'!I49</f>
        <v>200247.66427961711</v>
      </c>
      <c r="C9" s="2">
        <f>'Non-Rebalanced Portfolio'!I49</f>
        <v>200247.66427961711</v>
      </c>
      <c r="D9" s="64">
        <f>'Panic Portfolio'!I49</f>
        <v>200247.66427961711</v>
      </c>
    </row>
    <row r="10" spans="1:4" x14ac:dyDescent="0.2">
      <c r="A10">
        <f>'Rebalanced Portfolio'!A50</f>
        <v>1995</v>
      </c>
      <c r="B10" s="2">
        <f>'Rebalanced Portfolio'!I50</f>
        <v>249625.03370918153</v>
      </c>
      <c r="C10" s="2">
        <f>'Non-Rebalanced Portfolio'!I50</f>
        <v>252131.10406902741</v>
      </c>
      <c r="D10" s="64">
        <f>'Panic Portfolio'!I50</f>
        <v>252131.10406902741</v>
      </c>
    </row>
    <row r="11" spans="1:4" x14ac:dyDescent="0.2">
      <c r="A11">
        <f>'Rebalanced Portfolio'!A51</f>
        <v>1996</v>
      </c>
      <c r="B11" s="2">
        <f>'Rebalanced Portfolio'!I51</f>
        <v>280794.67892716307</v>
      </c>
      <c r="C11" s="2">
        <f>'Non-Rebalanced Portfolio'!I51</f>
        <v>286096.75184985995</v>
      </c>
      <c r="D11" s="64">
        <f>'Panic Portfolio'!I51</f>
        <v>286096.75184985995</v>
      </c>
    </row>
    <row r="12" spans="1:4" x14ac:dyDescent="0.2">
      <c r="A12">
        <f>'Rebalanced Portfolio'!A52</f>
        <v>1997</v>
      </c>
      <c r="B12" s="2">
        <f>'Rebalanced Portfolio'!I52</f>
        <v>328444.131967708</v>
      </c>
      <c r="C12" s="2">
        <f>'Non-Rebalanced Portfolio'!I52</f>
        <v>343724.66880773532</v>
      </c>
      <c r="D12" s="64">
        <f>'Panic Portfolio'!I52</f>
        <v>340706.51853548782</v>
      </c>
    </row>
    <row r="13" spans="1:4" x14ac:dyDescent="0.2">
      <c r="A13">
        <f>'Rebalanced Portfolio'!A53</f>
        <v>1998</v>
      </c>
      <c r="B13" s="2">
        <f>'Rebalanced Portfolio'!I53</f>
        <v>374377.32409860077</v>
      </c>
      <c r="C13" s="2">
        <f>'Non-Rebalanced Portfolio'!I53</f>
        <v>395982.05923555681</v>
      </c>
      <c r="D13" s="64">
        <f>'Panic Portfolio'!I53</f>
        <v>392492.98697633052</v>
      </c>
    </row>
    <row r="14" spans="1:4" x14ac:dyDescent="0.2">
      <c r="A14">
        <f>'Rebalanced Portfolio'!A54</f>
        <v>1999</v>
      </c>
      <c r="B14" s="2">
        <f>'Rebalanced Portfolio'!I54</f>
        <v>423080.07019058778</v>
      </c>
      <c r="C14" s="2">
        <f>'Non-Rebalanced Portfolio'!I54</f>
        <v>457301.36609790509</v>
      </c>
      <c r="D14" s="64">
        <f>'Panic Portfolio'!I54</f>
        <v>441464.20891168597</v>
      </c>
    </row>
    <row r="15" spans="1:4" x14ac:dyDescent="0.2">
      <c r="A15">
        <f>'Rebalanced Portfolio'!A55</f>
        <v>2000</v>
      </c>
      <c r="B15" s="2">
        <f>'Rebalanced Portfolio'!I55</f>
        <v>430893.95595376159</v>
      </c>
      <c r="C15" s="2">
        <f>'Non-Rebalanced Portfolio'!I55</f>
        <v>460461.19409359794</v>
      </c>
      <c r="D15" s="64">
        <f>'Panic Portfolio'!I55</f>
        <v>444261.97982426232</v>
      </c>
    </row>
    <row r="16" spans="1:4" x14ac:dyDescent="0.2">
      <c r="A16">
        <f>'Rebalanced Portfolio'!A56</f>
        <v>2001</v>
      </c>
      <c r="B16" s="2">
        <f>'Rebalanced Portfolio'!I56</f>
        <v>423541.68251196737</v>
      </c>
      <c r="C16" s="2">
        <f>'Non-Rebalanced Portfolio'!I56</f>
        <v>445369.98724647728</v>
      </c>
      <c r="D16" s="64">
        <f>'Panic Portfolio'!I56</f>
        <v>429838.74183135096</v>
      </c>
    </row>
    <row r="17" spans="1:4" x14ac:dyDescent="0.2">
      <c r="A17">
        <f>'Rebalanced Portfolio'!A57</f>
        <v>2002</v>
      </c>
      <c r="B17" s="2">
        <f>'Rebalanced Portfolio'!I57</f>
        <v>394509.35631964699</v>
      </c>
      <c r="C17" s="2">
        <f>'Non-Rebalanced Portfolio'!I57</f>
        <v>395000.0450765593</v>
      </c>
      <c r="D17" s="64">
        <f>'Panic Portfolio'!I57</f>
        <v>382007.50231096765</v>
      </c>
    </row>
    <row r="18" spans="1:4" x14ac:dyDescent="0.2">
      <c r="A18">
        <f>'Rebalanced Portfolio'!A58</f>
        <v>2003</v>
      </c>
      <c r="B18" s="2">
        <f>'Rebalanced Portfolio'!I58</f>
        <v>485337.63993447565</v>
      </c>
      <c r="C18" s="2">
        <f>'Non-Rebalanced Portfolio'!I58</f>
        <v>491757.46812382201</v>
      </c>
      <c r="D18" s="64">
        <f>'Panic Portfolio'!I58</f>
        <v>397173.20015271311</v>
      </c>
    </row>
    <row r="19" spans="1:4" x14ac:dyDescent="0.2">
      <c r="A19">
        <f>'Rebalanced Portfolio'!A59</f>
        <v>2004</v>
      </c>
      <c r="B19" s="2">
        <f>'Rebalanced Portfolio'!I59</f>
        <v>543637.36791868473</v>
      </c>
      <c r="C19" s="2">
        <f>'Non-Rebalanced Portfolio'!I59</f>
        <v>557230.35821536055</v>
      </c>
      <c r="D19" s="64">
        <f>'Panic Portfolio'!I59</f>
        <v>444882.43930145731</v>
      </c>
    </row>
    <row r="20" spans="1:4" x14ac:dyDescent="0.2">
      <c r="A20">
        <f>'Rebalanced Portfolio'!A60</f>
        <v>2005</v>
      </c>
      <c r="B20" s="2">
        <f>'Rebalanced Portfolio'!I60</f>
        <v>583809.98289386043</v>
      </c>
      <c r="C20" s="2">
        <f>'Non-Rebalanced Portfolio'!I60</f>
        <v>600473.59621121315</v>
      </c>
      <c r="D20" s="64">
        <f>'Panic Portfolio'!I60</f>
        <v>477757.46224496409</v>
      </c>
    </row>
    <row r="21" spans="1:4" x14ac:dyDescent="0.2">
      <c r="A21">
        <f>'Rebalanced Portfolio'!A61</f>
        <v>2006</v>
      </c>
      <c r="B21" s="2">
        <f>'Rebalanced Portfolio'!I61</f>
        <v>660707.60885109031</v>
      </c>
      <c r="C21" s="2">
        <f>'Non-Rebalanced Portfolio'!I61</f>
        <v>680554.69369403028</v>
      </c>
      <c r="D21" s="64">
        <f>'Panic Portfolio'!I61</f>
        <v>540686.18170241802</v>
      </c>
    </row>
    <row r="22" spans="1:4" x14ac:dyDescent="0.2">
      <c r="A22">
        <f>'Rebalanced Portfolio'!A62</f>
        <v>2007</v>
      </c>
      <c r="B22" s="2">
        <f>'Rebalanced Portfolio'!I62</f>
        <v>708232.63750955369</v>
      </c>
      <c r="C22" s="2">
        <f>'Non-Rebalanced Portfolio'!I62</f>
        <v>723247.74520790949</v>
      </c>
      <c r="D22" s="64">
        <f>'Panic Portfolio'!I62</f>
        <v>581291.69205745333</v>
      </c>
    </row>
    <row r="23" spans="1:4" x14ac:dyDescent="0.2">
      <c r="A23">
        <f>'Rebalanced Portfolio'!A63</f>
        <v>2008</v>
      </c>
      <c r="B23" s="2">
        <f>'Rebalanced Portfolio'!I63</f>
        <v>552402.92732274416</v>
      </c>
      <c r="C23" s="2">
        <f>'Non-Rebalanced Portfolio'!I63</f>
        <v>510363.9552834091</v>
      </c>
      <c r="D23" s="64">
        <f>'Panic Portfolio'!I63</f>
        <v>432856.91519190761</v>
      </c>
    </row>
    <row r="24" spans="1:4" x14ac:dyDescent="0.2">
      <c r="A24">
        <f>'Rebalanced Portfolio'!A64</f>
        <v>2009</v>
      </c>
      <c r="B24" s="2">
        <f>'Rebalanced Portfolio'!I64</f>
        <v>678480.88564171433</v>
      </c>
      <c r="C24" s="2">
        <f>'Non-Rebalanced Portfolio'!I64</f>
        <v>636708.0193713248</v>
      </c>
      <c r="D24" s="64">
        <f>'Panic Portfolio'!I64</f>
        <v>458525.3302627877</v>
      </c>
    </row>
    <row r="25" spans="1:4" x14ac:dyDescent="0.2">
      <c r="A25">
        <f>'Rebalanced Portfolio'!A65</f>
        <v>2010</v>
      </c>
      <c r="B25" s="2">
        <f>'Rebalanced Portfolio'!I65</f>
        <v>772172.3111399787</v>
      </c>
      <c r="C25" s="2">
        <f>'Non-Rebalanced Portfolio'!I65</f>
        <v>742247.68948734063</v>
      </c>
      <c r="D25" s="64">
        <f>'Panic Portfolio'!I65</f>
        <v>521843.0931187761</v>
      </c>
    </row>
    <row r="26" spans="1:4" x14ac:dyDescent="0.2">
      <c r="A26">
        <f>'Rebalanced Portfolio'!A66</f>
        <v>2011</v>
      </c>
      <c r="B26" s="2">
        <f>'Rebalanced Portfolio'!I66</f>
        <v>775492.31148047606</v>
      </c>
      <c r="C26" s="2">
        <f>'Non-Rebalanced Portfolio'!I66</f>
        <v>742774.85283489816</v>
      </c>
      <c r="D26" s="64">
        <f>'Panic Portfolio'!I66</f>
        <v>524086.78823947103</v>
      </c>
    </row>
    <row r="27" spans="1:4" x14ac:dyDescent="0.2">
      <c r="A27">
        <f>'Rebalanced Portfolio'!A67</f>
        <v>2012</v>
      </c>
      <c r="B27" s="2">
        <f>'Rebalanced Portfolio'!I67</f>
        <v>865698.2189665779</v>
      </c>
      <c r="C27" s="2">
        <f>'Non-Rebalanced Portfolio'!I67</f>
        <v>839696.70504605921</v>
      </c>
      <c r="D27" s="64">
        <f>'Panic Portfolio'!I67</f>
        <v>585048.99719337421</v>
      </c>
    </row>
    <row r="28" spans="1:4" x14ac:dyDescent="0.2">
      <c r="A28">
        <f>'Rebalanced Portfolio'!A68</f>
        <v>2013</v>
      </c>
      <c r="B28" s="2">
        <f>'Rebalanced Portfolio'!I68</f>
        <v>1022883.7702105971</v>
      </c>
      <c r="C28" s="2">
        <f>'Non-Rebalanced Portfolio'!I68</f>
        <v>1037295.8266619229</v>
      </c>
      <c r="D28" s="64">
        <f>'Panic Portfolio'!I68</f>
        <v>691276.83400049992</v>
      </c>
    </row>
    <row r="29" spans="1:4" x14ac:dyDescent="0.2">
      <c r="A29">
        <f>'Rebalanced Portfolio'!A69</f>
        <v>2014</v>
      </c>
      <c r="B29" s="2">
        <f>'Rebalanced Portfolio'!I69</f>
        <v>1095989.2732675485</v>
      </c>
      <c r="C29" s="2">
        <f>'Non-Rebalanced Portfolio'!I69</f>
        <v>1135710.9769264059</v>
      </c>
      <c r="D29" s="64">
        <f>'Panic Portfolio'!I69</f>
        <v>746810.16212780285</v>
      </c>
    </row>
    <row r="30" spans="1:4" x14ac:dyDescent="0.2">
      <c r="A30">
        <f>'Rebalanced Portfolio'!A70</f>
        <v>2015</v>
      </c>
      <c r="B30" s="2">
        <f>'Rebalanced Portfolio'!I70</f>
        <v>1087073.1800469202</v>
      </c>
      <c r="C30" s="2">
        <f>'Non-Rebalanced Portfolio'!I70</f>
        <v>1124173.0620151595</v>
      </c>
      <c r="D30" s="64">
        <f>'Panic Portfolio'!I70</f>
        <v>740164.75536437775</v>
      </c>
    </row>
    <row r="31" spans="1:4" x14ac:dyDescent="0.2">
      <c r="A31">
        <f>'Rebalanced Portfolio'!A71</f>
        <v>2016</v>
      </c>
      <c r="B31" s="2">
        <f>'Rebalanced Portfolio'!I71</f>
        <v>1170462.6035305017</v>
      </c>
      <c r="C31" s="2">
        <f>'Non-Rebalanced Portfolio'!I71</f>
        <v>1240805.6137481972</v>
      </c>
      <c r="D31" s="64">
        <f>'Panic Portfolio'!I71</f>
        <v>805674.61732932366</v>
      </c>
    </row>
    <row r="32" spans="1:4" x14ac:dyDescent="0.2">
      <c r="A32">
        <f>'Rebalanced Portfolio'!A72</f>
        <v>2017</v>
      </c>
      <c r="B32" s="2">
        <f>'Rebalanced Portfolio'!I72</f>
        <v>1340611.9849466528</v>
      </c>
      <c r="C32" s="2">
        <f>'Non-Rebalanced Portfolio'!I72</f>
        <v>1451683.4884921967</v>
      </c>
      <c r="D32" s="64">
        <f>'Panic Portfolio'!I72</f>
        <v>933177.61034179572</v>
      </c>
    </row>
    <row r="33" spans="1:4" x14ac:dyDescent="0.2">
      <c r="A33">
        <f>'Rebalanced Portfolio'!A73</f>
        <v>2018</v>
      </c>
      <c r="B33" s="2">
        <f>'Rebalanced Portfolio'!I73</f>
        <v>1267548.6317670601</v>
      </c>
      <c r="C33" s="2">
        <f>'Non-Rebalanced Portfolio'!I73</f>
        <v>1352799.2352593755</v>
      </c>
      <c r="D33" s="64">
        <f>'Panic Portfolio'!I73</f>
        <v>875069.47872640123</v>
      </c>
    </row>
    <row r="34" spans="1:4" x14ac:dyDescent="0.2">
      <c r="A34">
        <f>'Rebalanced Portfolio'!A74</f>
        <v>2019</v>
      </c>
      <c r="B34" s="2">
        <f>'Rebalanced Portfolio'!I74</f>
        <v>1521593.8926582215</v>
      </c>
      <c r="C34" s="2">
        <f>'Non-Rebalanced Portfolio'!I74</f>
        <v>1704486.3423105704</v>
      </c>
      <c r="D34" s="64">
        <f>'Panic Portfolio'!I74</f>
        <v>1080938.1420404923</v>
      </c>
    </row>
    <row r="35" spans="1:4" x14ac:dyDescent="0.2">
      <c r="A35">
        <f>'Rebalanced Portfolio'!A75</f>
        <v>2020</v>
      </c>
      <c r="B35" s="2">
        <f>'Rebalanced Portfolio'!I75</f>
        <v>1725108.3002474855</v>
      </c>
      <c r="C35" s="2">
        <f>'Non-Rebalanced Portfolio'!I75</f>
        <v>1984570.3068398959</v>
      </c>
      <c r="D35" s="64">
        <f>'Panic Portfolio'!I75</f>
        <v>1244561.3533186903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40"/>
  <sheetViews>
    <sheetView tabSelected="1" zoomScaleNormal="100" workbookViewId="0">
      <selection activeCell="O14" sqref="O14"/>
    </sheetView>
  </sheetViews>
  <sheetFormatPr baseColWidth="10" defaultColWidth="12.5" defaultRowHeight="15" x14ac:dyDescent="0.2"/>
  <cols>
    <col min="1" max="1" width="50.1640625" customWidth="1"/>
    <col min="2" max="3" width="14.83203125" customWidth="1"/>
    <col min="4" max="4" width="15.83203125" customWidth="1"/>
    <col min="5" max="5" width="5.33203125" customWidth="1"/>
    <col min="6" max="8" width="0" hidden="1" customWidth="1"/>
    <col min="9" max="9" width="15.83203125" hidden="1" customWidth="1"/>
    <col min="10" max="11" width="0" hidden="1" customWidth="1"/>
    <col min="14" max="14" width="6.33203125" customWidth="1"/>
    <col min="254" max="254" width="50.1640625" customWidth="1"/>
    <col min="255" max="255" width="14.83203125" customWidth="1"/>
    <col min="256" max="256" width="15.83203125" customWidth="1"/>
    <col min="510" max="510" width="50.1640625" customWidth="1"/>
    <col min="511" max="511" width="14.83203125" customWidth="1"/>
    <col min="512" max="512" width="15.83203125" customWidth="1"/>
    <col min="766" max="766" width="50.1640625" customWidth="1"/>
    <col min="767" max="767" width="14.83203125" customWidth="1"/>
    <col min="768" max="768" width="15.83203125" customWidth="1"/>
    <col min="1022" max="1022" width="50.1640625" customWidth="1"/>
    <col min="1023" max="1023" width="14.83203125" customWidth="1"/>
    <col min="1024" max="1024" width="15.83203125" customWidth="1"/>
    <col min="1278" max="1278" width="50.1640625" customWidth="1"/>
    <col min="1279" max="1279" width="14.83203125" customWidth="1"/>
    <col min="1280" max="1280" width="15.83203125" customWidth="1"/>
    <col min="1534" max="1534" width="50.1640625" customWidth="1"/>
    <col min="1535" max="1535" width="14.83203125" customWidth="1"/>
    <col min="1536" max="1536" width="15.83203125" customWidth="1"/>
    <col min="1790" max="1790" width="50.1640625" customWidth="1"/>
    <col min="1791" max="1791" width="14.83203125" customWidth="1"/>
    <col min="1792" max="1792" width="15.83203125" customWidth="1"/>
    <col min="2046" max="2046" width="50.1640625" customWidth="1"/>
    <col min="2047" max="2047" width="14.83203125" customWidth="1"/>
    <col min="2048" max="2048" width="15.83203125" customWidth="1"/>
    <col min="2302" max="2302" width="50.1640625" customWidth="1"/>
    <col min="2303" max="2303" width="14.83203125" customWidth="1"/>
    <col min="2304" max="2304" width="15.83203125" customWidth="1"/>
    <col min="2558" max="2558" width="50.1640625" customWidth="1"/>
    <col min="2559" max="2559" width="14.83203125" customWidth="1"/>
    <col min="2560" max="2560" width="15.83203125" customWidth="1"/>
    <col min="2814" max="2814" width="50.1640625" customWidth="1"/>
    <col min="2815" max="2815" width="14.83203125" customWidth="1"/>
    <col min="2816" max="2816" width="15.83203125" customWidth="1"/>
    <col min="3070" max="3070" width="50.1640625" customWidth="1"/>
    <col min="3071" max="3071" width="14.83203125" customWidth="1"/>
    <col min="3072" max="3072" width="15.83203125" customWidth="1"/>
    <col min="3326" max="3326" width="50.1640625" customWidth="1"/>
    <col min="3327" max="3327" width="14.83203125" customWidth="1"/>
    <col min="3328" max="3328" width="15.83203125" customWidth="1"/>
    <col min="3582" max="3582" width="50.1640625" customWidth="1"/>
    <col min="3583" max="3583" width="14.83203125" customWidth="1"/>
    <col min="3584" max="3584" width="15.83203125" customWidth="1"/>
    <col min="3838" max="3838" width="50.1640625" customWidth="1"/>
    <col min="3839" max="3839" width="14.83203125" customWidth="1"/>
    <col min="3840" max="3840" width="15.83203125" customWidth="1"/>
    <col min="4094" max="4094" width="50.1640625" customWidth="1"/>
    <col min="4095" max="4095" width="14.83203125" customWidth="1"/>
    <col min="4096" max="4096" width="15.83203125" customWidth="1"/>
    <col min="4350" max="4350" width="50.1640625" customWidth="1"/>
    <col min="4351" max="4351" width="14.83203125" customWidth="1"/>
    <col min="4352" max="4352" width="15.83203125" customWidth="1"/>
    <col min="4606" max="4606" width="50.1640625" customWidth="1"/>
    <col min="4607" max="4607" width="14.83203125" customWidth="1"/>
    <col min="4608" max="4608" width="15.83203125" customWidth="1"/>
    <col min="4862" max="4862" width="50.1640625" customWidth="1"/>
    <col min="4863" max="4863" width="14.83203125" customWidth="1"/>
    <col min="4864" max="4864" width="15.83203125" customWidth="1"/>
    <col min="5118" max="5118" width="50.1640625" customWidth="1"/>
    <col min="5119" max="5119" width="14.83203125" customWidth="1"/>
    <col min="5120" max="5120" width="15.83203125" customWidth="1"/>
    <col min="5374" max="5374" width="50.1640625" customWidth="1"/>
    <col min="5375" max="5375" width="14.83203125" customWidth="1"/>
    <col min="5376" max="5376" width="15.83203125" customWidth="1"/>
    <col min="5630" max="5630" width="50.1640625" customWidth="1"/>
    <col min="5631" max="5631" width="14.83203125" customWidth="1"/>
    <col min="5632" max="5632" width="15.83203125" customWidth="1"/>
    <col min="5886" max="5886" width="50.1640625" customWidth="1"/>
    <col min="5887" max="5887" width="14.83203125" customWidth="1"/>
    <col min="5888" max="5888" width="15.83203125" customWidth="1"/>
    <col min="6142" max="6142" width="50.1640625" customWidth="1"/>
    <col min="6143" max="6143" width="14.83203125" customWidth="1"/>
    <col min="6144" max="6144" width="15.83203125" customWidth="1"/>
    <col min="6398" max="6398" width="50.1640625" customWidth="1"/>
    <col min="6399" max="6399" width="14.83203125" customWidth="1"/>
    <col min="6400" max="6400" width="15.83203125" customWidth="1"/>
    <col min="6654" max="6654" width="50.1640625" customWidth="1"/>
    <col min="6655" max="6655" width="14.83203125" customWidth="1"/>
    <col min="6656" max="6656" width="15.83203125" customWidth="1"/>
    <col min="6910" max="6910" width="50.1640625" customWidth="1"/>
    <col min="6911" max="6911" width="14.83203125" customWidth="1"/>
    <col min="6912" max="6912" width="15.83203125" customWidth="1"/>
    <col min="7166" max="7166" width="50.1640625" customWidth="1"/>
    <col min="7167" max="7167" width="14.83203125" customWidth="1"/>
    <col min="7168" max="7168" width="15.83203125" customWidth="1"/>
    <col min="7422" max="7422" width="50.1640625" customWidth="1"/>
    <col min="7423" max="7423" width="14.83203125" customWidth="1"/>
    <col min="7424" max="7424" width="15.83203125" customWidth="1"/>
    <col min="7678" max="7678" width="50.1640625" customWidth="1"/>
    <col min="7679" max="7679" width="14.83203125" customWidth="1"/>
    <col min="7680" max="7680" width="15.83203125" customWidth="1"/>
    <col min="7934" max="7934" width="50.1640625" customWidth="1"/>
    <col min="7935" max="7935" width="14.83203125" customWidth="1"/>
    <col min="7936" max="7936" width="15.83203125" customWidth="1"/>
    <col min="8190" max="8190" width="50.1640625" customWidth="1"/>
    <col min="8191" max="8191" width="14.83203125" customWidth="1"/>
    <col min="8192" max="8192" width="15.83203125" customWidth="1"/>
    <col min="8446" max="8446" width="50.1640625" customWidth="1"/>
    <col min="8447" max="8447" width="14.83203125" customWidth="1"/>
    <col min="8448" max="8448" width="15.83203125" customWidth="1"/>
    <col min="8702" max="8702" width="50.1640625" customWidth="1"/>
    <col min="8703" max="8703" width="14.83203125" customWidth="1"/>
    <col min="8704" max="8704" width="15.83203125" customWidth="1"/>
    <col min="8958" max="8958" width="50.1640625" customWidth="1"/>
    <col min="8959" max="8959" width="14.83203125" customWidth="1"/>
    <col min="8960" max="8960" width="15.83203125" customWidth="1"/>
    <col min="9214" max="9214" width="50.1640625" customWidth="1"/>
    <col min="9215" max="9215" width="14.83203125" customWidth="1"/>
    <col min="9216" max="9216" width="15.83203125" customWidth="1"/>
    <col min="9470" max="9470" width="50.1640625" customWidth="1"/>
    <col min="9471" max="9471" width="14.83203125" customWidth="1"/>
    <col min="9472" max="9472" width="15.83203125" customWidth="1"/>
    <col min="9726" max="9726" width="50.1640625" customWidth="1"/>
    <col min="9727" max="9727" width="14.83203125" customWidth="1"/>
    <col min="9728" max="9728" width="15.83203125" customWidth="1"/>
    <col min="9982" max="9982" width="50.1640625" customWidth="1"/>
    <col min="9983" max="9983" width="14.83203125" customWidth="1"/>
    <col min="9984" max="9984" width="15.83203125" customWidth="1"/>
    <col min="10238" max="10238" width="50.1640625" customWidth="1"/>
    <col min="10239" max="10239" width="14.83203125" customWidth="1"/>
    <col min="10240" max="10240" width="15.83203125" customWidth="1"/>
    <col min="10494" max="10494" width="50.1640625" customWidth="1"/>
    <col min="10495" max="10495" width="14.83203125" customWidth="1"/>
    <col min="10496" max="10496" width="15.83203125" customWidth="1"/>
    <col min="10750" max="10750" width="50.1640625" customWidth="1"/>
    <col min="10751" max="10751" width="14.83203125" customWidth="1"/>
    <col min="10752" max="10752" width="15.83203125" customWidth="1"/>
    <col min="11006" max="11006" width="50.1640625" customWidth="1"/>
    <col min="11007" max="11007" width="14.83203125" customWidth="1"/>
    <col min="11008" max="11008" width="15.83203125" customWidth="1"/>
    <col min="11262" max="11262" width="50.1640625" customWidth="1"/>
    <col min="11263" max="11263" width="14.83203125" customWidth="1"/>
    <col min="11264" max="11264" width="15.83203125" customWidth="1"/>
    <col min="11518" max="11518" width="50.1640625" customWidth="1"/>
    <col min="11519" max="11519" width="14.83203125" customWidth="1"/>
    <col min="11520" max="11520" width="15.83203125" customWidth="1"/>
    <col min="11774" max="11774" width="50.1640625" customWidth="1"/>
    <col min="11775" max="11775" width="14.83203125" customWidth="1"/>
    <col min="11776" max="11776" width="15.83203125" customWidth="1"/>
    <col min="12030" max="12030" width="50.1640625" customWidth="1"/>
    <col min="12031" max="12031" width="14.83203125" customWidth="1"/>
    <col min="12032" max="12032" width="15.83203125" customWidth="1"/>
    <col min="12286" max="12286" width="50.1640625" customWidth="1"/>
    <col min="12287" max="12287" width="14.83203125" customWidth="1"/>
    <col min="12288" max="12288" width="15.83203125" customWidth="1"/>
    <col min="12542" max="12542" width="50.1640625" customWidth="1"/>
    <col min="12543" max="12543" width="14.83203125" customWidth="1"/>
    <col min="12544" max="12544" width="15.83203125" customWidth="1"/>
    <col min="12798" max="12798" width="50.1640625" customWidth="1"/>
    <col min="12799" max="12799" width="14.83203125" customWidth="1"/>
    <col min="12800" max="12800" width="15.83203125" customWidth="1"/>
    <col min="13054" max="13054" width="50.1640625" customWidth="1"/>
    <col min="13055" max="13055" width="14.83203125" customWidth="1"/>
    <col min="13056" max="13056" width="15.83203125" customWidth="1"/>
    <col min="13310" max="13310" width="50.1640625" customWidth="1"/>
    <col min="13311" max="13311" width="14.83203125" customWidth="1"/>
    <col min="13312" max="13312" width="15.83203125" customWidth="1"/>
    <col min="13566" max="13566" width="50.1640625" customWidth="1"/>
    <col min="13567" max="13567" width="14.83203125" customWidth="1"/>
    <col min="13568" max="13568" width="15.83203125" customWidth="1"/>
    <col min="13822" max="13822" width="50.1640625" customWidth="1"/>
    <col min="13823" max="13823" width="14.83203125" customWidth="1"/>
    <col min="13824" max="13824" width="15.83203125" customWidth="1"/>
    <col min="14078" max="14078" width="50.1640625" customWidth="1"/>
    <col min="14079" max="14079" width="14.83203125" customWidth="1"/>
    <col min="14080" max="14080" width="15.83203125" customWidth="1"/>
    <col min="14334" max="14334" width="50.1640625" customWidth="1"/>
    <col min="14335" max="14335" width="14.83203125" customWidth="1"/>
    <col min="14336" max="14336" width="15.83203125" customWidth="1"/>
    <col min="14590" max="14590" width="50.1640625" customWidth="1"/>
    <col min="14591" max="14591" width="14.83203125" customWidth="1"/>
    <col min="14592" max="14592" width="15.83203125" customWidth="1"/>
    <col min="14846" max="14846" width="50.1640625" customWidth="1"/>
    <col min="14847" max="14847" width="14.83203125" customWidth="1"/>
    <col min="14848" max="14848" width="15.83203125" customWidth="1"/>
    <col min="15102" max="15102" width="50.1640625" customWidth="1"/>
    <col min="15103" max="15103" width="14.83203125" customWidth="1"/>
    <col min="15104" max="15104" width="15.83203125" customWidth="1"/>
    <col min="15358" max="15358" width="50.1640625" customWidth="1"/>
    <col min="15359" max="15359" width="14.83203125" customWidth="1"/>
    <col min="15360" max="15360" width="15.83203125" customWidth="1"/>
    <col min="15614" max="15614" width="50.1640625" customWidth="1"/>
    <col min="15615" max="15615" width="14.83203125" customWidth="1"/>
    <col min="15616" max="15616" width="15.83203125" customWidth="1"/>
    <col min="15870" max="15870" width="50.1640625" customWidth="1"/>
    <col min="15871" max="15871" width="14.83203125" customWidth="1"/>
    <col min="15872" max="15872" width="15.83203125" customWidth="1"/>
    <col min="16126" max="16126" width="50.1640625" customWidth="1"/>
    <col min="16127" max="16127" width="14.83203125" customWidth="1"/>
    <col min="16128" max="16128" width="15.83203125" customWidth="1"/>
  </cols>
  <sheetData>
    <row r="1" spans="1:21" x14ac:dyDescent="0.2">
      <c r="A1" s="20" t="s">
        <v>83</v>
      </c>
    </row>
    <row r="2" spans="1:21" x14ac:dyDescent="0.2">
      <c r="A2" s="20"/>
      <c r="C2" s="79"/>
    </row>
    <row r="3" spans="1:21" x14ac:dyDescent="0.2">
      <c r="A3" s="20"/>
      <c r="C3" s="79"/>
    </row>
    <row r="4" spans="1:21" x14ac:dyDescent="0.2">
      <c r="A4" s="20"/>
      <c r="C4" s="79"/>
    </row>
    <row r="5" spans="1:21" x14ac:dyDescent="0.2">
      <c r="A5" s="20"/>
      <c r="C5" s="79"/>
    </row>
    <row r="6" spans="1:21" x14ac:dyDescent="0.2">
      <c r="A6" s="20"/>
      <c r="C6" s="79"/>
    </row>
    <row r="7" spans="1:21" x14ac:dyDescent="0.2">
      <c r="A7" s="20"/>
      <c r="C7" s="79"/>
    </row>
    <row r="8" spans="1:21" x14ac:dyDescent="0.2">
      <c r="A8" s="20"/>
      <c r="C8" s="79"/>
    </row>
    <row r="9" spans="1:21" x14ac:dyDescent="0.2">
      <c r="A9" s="65" t="s">
        <v>181</v>
      </c>
      <c r="C9" s="79"/>
      <c r="P9" s="96" t="s">
        <v>178</v>
      </c>
      <c r="Q9" s="96"/>
      <c r="R9" s="96"/>
      <c r="S9" s="96"/>
      <c r="T9" s="96"/>
      <c r="U9" s="96"/>
    </row>
    <row r="10" spans="1:21" x14ac:dyDescent="0.2">
      <c r="P10" s="96"/>
      <c r="Q10" s="96"/>
      <c r="R10" s="96"/>
      <c r="S10" s="96"/>
      <c r="T10" s="96"/>
      <c r="U10" s="96"/>
    </row>
    <row r="11" spans="1:21" ht="48" x14ac:dyDescent="0.2">
      <c r="A11" t="s">
        <v>84</v>
      </c>
      <c r="B11" s="41" t="s">
        <v>85</v>
      </c>
      <c r="C11" s="41" t="s">
        <v>86</v>
      </c>
      <c r="D11" s="41" t="s">
        <v>87</v>
      </c>
      <c r="F11" s="41" t="s">
        <v>88</v>
      </c>
      <c r="G11" s="41" t="s">
        <v>89</v>
      </c>
      <c r="H11" s="41" t="s">
        <v>90</v>
      </c>
      <c r="I11" s="41" t="s">
        <v>91</v>
      </c>
      <c r="J11" s="72" t="s">
        <v>88</v>
      </c>
      <c r="K11" s="72" t="s">
        <v>89</v>
      </c>
      <c r="L11" s="41" t="s">
        <v>92</v>
      </c>
      <c r="M11" s="41" t="s">
        <v>93</v>
      </c>
      <c r="N11" s="76"/>
      <c r="P11" s="96" t="str">
        <f>A11</f>
        <v>Portfolio Strategy</v>
      </c>
      <c r="Q11" s="97" t="str">
        <f>B11</f>
        <v>Rebalance at 5% Thresholds</v>
      </c>
      <c r="R11" s="97" t="str">
        <f>C11</f>
        <v>No Rebalancing</v>
      </c>
      <c r="S11" s="97" t="str">
        <f>D11</f>
        <v>Panic and Sell When S&amp;P 500 Falls &gt; 20%</v>
      </c>
      <c r="T11" s="97" t="str">
        <f>L11</f>
        <v>60/40 Allocation</v>
      </c>
      <c r="U11" s="97" t="str">
        <f>M11</f>
        <v>S&amp;P 500 Only</v>
      </c>
    </row>
    <row r="12" spans="1:21" x14ac:dyDescent="0.2">
      <c r="A12" s="9" t="s">
        <v>94</v>
      </c>
      <c r="B12" s="67">
        <f>'Rebalanced Portfolio'!I76</f>
        <v>1725108.3002474855</v>
      </c>
      <c r="C12" s="67">
        <f>'Non-Rebalanced Portfolio'!I76</f>
        <v>1984570.3068398959</v>
      </c>
      <c r="D12" s="67">
        <f>'Panic Portfolio'!I76</f>
        <v>1244561.3533186903</v>
      </c>
      <c r="E12" s="42"/>
      <c r="F12" s="6">
        <f>(B12-D12)/D12</f>
        <v>0.38611752297095736</v>
      </c>
      <c r="G12" s="6">
        <f>(C12-D12)/D12</f>
        <v>0.59459419300457272</v>
      </c>
      <c r="H12" s="6">
        <f>(B12-C12)/C12</f>
        <v>-0.13073963955732124</v>
      </c>
      <c r="I12" s="67">
        <f>'Annual Rebalance Portfolio'!I76</f>
        <v>1434601.4405937712</v>
      </c>
      <c r="J12" s="40">
        <f>B12-D12</f>
        <v>480546.94692879519</v>
      </c>
      <c r="K12" s="40">
        <f>C12-D12</f>
        <v>740008.95352120558</v>
      </c>
      <c r="L12" s="67">
        <f>'60-40 Portfolio'!I76</f>
        <v>1885321.0432755142</v>
      </c>
      <c r="M12" s="67">
        <f>'SP500 Only'!I76</f>
        <v>3022870.7828048798</v>
      </c>
      <c r="N12" s="63"/>
      <c r="P12" s="98" t="str">
        <f>A12</f>
        <v>Ending Portfolio Value</v>
      </c>
      <c r="Q12" s="99" t="b">
        <f>EXACT(B12,'Rebalanced Portfolio'!I76)</f>
        <v>1</v>
      </c>
      <c r="R12" s="99" t="b">
        <f>EXACT(C12,'Non-Rebalanced Portfolio'!$I76)</f>
        <v>1</v>
      </c>
      <c r="S12" s="99" t="b">
        <f>EXACT(D12,'Panic Portfolio'!$I76)</f>
        <v>1</v>
      </c>
      <c r="T12" s="99" t="b">
        <f>EXACT(L12,'60-40 Portfolio'!$I76)</f>
        <v>1</v>
      </c>
      <c r="U12" s="99" t="b">
        <f>EXACT(M12,'SP500 Only'!$I76)</f>
        <v>1</v>
      </c>
    </row>
    <row r="13" spans="1:21" x14ac:dyDescent="0.2">
      <c r="A13" s="11" t="s">
        <v>95</v>
      </c>
      <c r="B13" s="70">
        <f>'Rebalanced Portfolio'!I77</f>
        <v>16.251083002474854</v>
      </c>
      <c r="C13" s="70">
        <f>'Non-Rebalanced Portfolio'!I77</f>
        <v>18.845703068398958</v>
      </c>
      <c r="D13" s="70">
        <f>'Panic Portfolio'!I77</f>
        <v>11.445613533186902</v>
      </c>
      <c r="F13" s="6">
        <f>(B13-D13)/D13</f>
        <v>0.41985250116600104</v>
      </c>
      <c r="G13" s="6">
        <f>(C13-D13)/D13</f>
        <v>0.64654371858312987</v>
      </c>
      <c r="H13" s="6">
        <f t="shared" ref="H13:H17" si="0">(B13-C13)/C13</f>
        <v>-0.13767701085532019</v>
      </c>
      <c r="I13" s="70">
        <f>'Annual Rebalance Portfolio'!I77</f>
        <v>13.346014405937712</v>
      </c>
      <c r="L13" s="70">
        <f>'60-40 Portfolio'!I77</f>
        <v>17.853210432755141</v>
      </c>
      <c r="M13" s="70">
        <f>'SP500 Only'!I77</f>
        <v>29.228707828048798</v>
      </c>
      <c r="P13" s="100" t="str">
        <f t="shared" ref="P13:P19" si="1">A13</f>
        <v>Total Return</v>
      </c>
      <c r="Q13" s="99" t="b">
        <f>EXACT(B13,'Rebalanced Portfolio'!I77)</f>
        <v>1</v>
      </c>
      <c r="R13" s="99" t="b">
        <f>EXACT(C13,'Non-Rebalanced Portfolio'!$I77)</f>
        <v>1</v>
      </c>
      <c r="S13" s="99" t="b">
        <f>EXACT(D13,'Panic Portfolio'!$I77)</f>
        <v>1</v>
      </c>
      <c r="T13" s="99" t="b">
        <f>EXACT(L13,'60-40 Portfolio'!$I77)</f>
        <v>1</v>
      </c>
      <c r="U13" s="99" t="b">
        <f>EXACT(M13,'SP500 Only'!$I77)</f>
        <v>1</v>
      </c>
    </row>
    <row r="14" spans="1:21" x14ac:dyDescent="0.2">
      <c r="A14" s="1" t="s">
        <v>96</v>
      </c>
      <c r="B14" s="70">
        <f>'Rebalanced Portfolio'!I78</f>
        <v>0.10473509633236666</v>
      </c>
      <c r="C14" s="70">
        <f>'Non-Rebalanced Portfolio'!I78</f>
        <v>0.12623761105903347</v>
      </c>
      <c r="D14" s="70">
        <f>'Panic Portfolio'!I78</f>
        <v>0.10951161801354624</v>
      </c>
      <c r="F14" s="6">
        <f>(B14-D14)/D14</f>
        <v>-4.361657482394915E-2</v>
      </c>
      <c r="G14" s="6">
        <f>(C14-D14)/D14</f>
        <v>0.15273258991953056</v>
      </c>
      <c r="H14" s="6">
        <f t="shared" si="0"/>
        <v>-0.17033366321081142</v>
      </c>
      <c r="I14" s="70">
        <f>'Annual Rebalance Portfolio'!I78</f>
        <v>0.10625552953014811</v>
      </c>
      <c r="L14" s="70">
        <f>'60-40 Portfolio'!I78</f>
        <v>0.10740840465943459</v>
      </c>
      <c r="M14" s="70">
        <f>'SP500 Only'!I78</f>
        <v>0.17388943916562963</v>
      </c>
      <c r="P14" s="96" t="str">
        <f t="shared" si="1"/>
        <v>Standard Deviation</v>
      </c>
      <c r="Q14" s="99" t="b">
        <f>EXACT(B14,'Rebalanced Portfolio'!I78)</f>
        <v>1</v>
      </c>
      <c r="R14" s="99" t="b">
        <f>EXACT(C14,'Non-Rebalanced Portfolio'!$I78)</f>
        <v>1</v>
      </c>
      <c r="S14" s="99" t="b">
        <f>EXACT(D14,'Panic Portfolio'!$I78)</f>
        <v>1</v>
      </c>
      <c r="T14" s="99" t="b">
        <f>EXACT(L14,'60-40 Portfolio'!$I78)</f>
        <v>1</v>
      </c>
      <c r="U14" s="99" t="b">
        <f>EXACT(M14,'SP500 Only'!$I78)</f>
        <v>1</v>
      </c>
    </row>
    <row r="15" spans="1:21" x14ac:dyDescent="0.2">
      <c r="A15" s="1" t="s">
        <v>97</v>
      </c>
      <c r="B15" s="70">
        <f>'Rebalanced Portfolio'!I79</f>
        <v>9.0132490889487604E-2</v>
      </c>
      <c r="C15" s="70">
        <f>'Non-Rebalanced Portfolio'!I79</f>
        <v>9.4770854606085253E-2</v>
      </c>
      <c r="D15" s="70">
        <f>'Panic Portfolio'!I79</f>
        <v>7.9399748287157124E-2</v>
      </c>
      <c r="F15" s="6">
        <f>(B15-D15)/D15</f>
        <v>0.13517350915917825</v>
      </c>
      <c r="G15" s="6">
        <f>(C15-D15)/D15</f>
        <v>0.19359137340507665</v>
      </c>
      <c r="H15" s="6">
        <f t="shared" si="0"/>
        <v>-4.8942934363913802E-2</v>
      </c>
      <c r="I15" s="70">
        <f>'Annual Rebalance Portfolio'!I79</f>
        <v>8.4057859627117093E-2</v>
      </c>
      <c r="L15" s="70">
        <f>'60-40 Portfolio'!I79</f>
        <v>9.3070163270336348E-2</v>
      </c>
      <c r="M15" s="70">
        <f>'SP500 Only'!I79</f>
        <v>0.10882037963638314</v>
      </c>
      <c r="P15" s="96" t="str">
        <f t="shared" si="1"/>
        <v>Annualized Return</v>
      </c>
      <c r="Q15" s="99" t="b">
        <f>EXACT(B15,'Rebalanced Portfolio'!I79)</f>
        <v>1</v>
      </c>
      <c r="R15" s="99" t="b">
        <f>EXACT(C15,'Non-Rebalanced Portfolio'!$I79)</f>
        <v>1</v>
      </c>
      <c r="S15" s="99" t="b">
        <f>EXACT(D15,'Panic Portfolio'!$I79)</f>
        <v>1</v>
      </c>
      <c r="T15" s="99" t="b">
        <f>EXACT(L15,'60-40 Portfolio'!$I79)</f>
        <v>1</v>
      </c>
      <c r="U15" s="99" t="b">
        <f>EXACT(M15,'SP500 Only'!$I79)</f>
        <v>1</v>
      </c>
    </row>
    <row r="16" spans="1:21" x14ac:dyDescent="0.2">
      <c r="A16" s="1" t="s">
        <v>98</v>
      </c>
      <c r="B16" s="68">
        <f>'Rebalanced Portfolio'!I80</f>
        <v>-155829.71018680953</v>
      </c>
      <c r="C16" s="68">
        <f>'Non-Rebalanced Portfolio'!I80</f>
        <v>-212883.78992450039</v>
      </c>
      <c r="D16" s="69">
        <f>'Panic Portfolio'!I80</f>
        <v>-148434.77686554572</v>
      </c>
      <c r="F16" s="2">
        <f>B16-D16</f>
        <v>-7394.9333212638157</v>
      </c>
      <c r="G16" s="2">
        <f>C16-D16</f>
        <v>-64449.013058954675</v>
      </c>
      <c r="H16" s="2">
        <f>B16-C16</f>
        <v>57054.079737690859</v>
      </c>
      <c r="I16" s="69">
        <f>'Annual Rebalance Portfolio'!I80</f>
        <v>-130197.9484465787</v>
      </c>
      <c r="L16" s="69">
        <f>'60-40 Portfolio'!I80</f>
        <v>-141083.88225850207</v>
      </c>
      <c r="M16" s="69">
        <f>'SP500 Only'!I80</f>
        <v>-337023.3665495665</v>
      </c>
      <c r="P16" s="96" t="str">
        <f t="shared" si="1"/>
        <v>Largest Drawdown</v>
      </c>
      <c r="Q16" s="99" t="b">
        <f>EXACT(B16,'Rebalanced Portfolio'!I80)</f>
        <v>1</v>
      </c>
      <c r="R16" s="99" t="b">
        <f>EXACT(C16,'Non-Rebalanced Portfolio'!$I80)</f>
        <v>1</v>
      </c>
      <c r="S16" s="99" t="b">
        <f>EXACT(D16,'Panic Portfolio'!$I80)</f>
        <v>1</v>
      </c>
      <c r="T16" s="99" t="b">
        <f>EXACT(L16,'60-40 Portfolio'!$I80)</f>
        <v>1</v>
      </c>
      <c r="U16" s="99" t="b">
        <f>EXACT(M16,'SP500 Only'!$I80)</f>
        <v>1</v>
      </c>
    </row>
    <row r="17" spans="1:21" x14ac:dyDescent="0.2">
      <c r="A17" s="1" t="s">
        <v>99</v>
      </c>
      <c r="B17" s="6">
        <f>'Rebalanced Portfolio'!I81</f>
        <v>-0.22002616362721278</v>
      </c>
      <c r="C17" s="6">
        <f>'Non-Rebalanced Portfolio'!I81</f>
        <v>-0.29434421515314013</v>
      </c>
      <c r="D17" s="12">
        <f>'Panic Portfolio'!I81</f>
        <v>-0.25535334306975577</v>
      </c>
      <c r="F17" s="6">
        <f>(B17-D17)/D17</f>
        <v>-0.13834625784747426</v>
      </c>
      <c r="G17" s="6">
        <f>(C17-D17)/D17</f>
        <v>0.15269379916727033</v>
      </c>
      <c r="H17" s="6">
        <f t="shared" si="0"/>
        <v>-0.25248687658855967</v>
      </c>
      <c r="I17" s="12">
        <f>'Annual Rebalance Portfolio'!I81</f>
        <v>-0.21879750000000003</v>
      </c>
      <c r="L17" s="12">
        <f>'60-40 Portfolio'!I81</f>
        <v>-0.20191999999999999</v>
      </c>
      <c r="M17" s="12">
        <f>'SP500 Only'!I81</f>
        <v>-0.37020000000000008</v>
      </c>
      <c r="P17" s="96" t="str">
        <f t="shared" si="1"/>
        <v>Largest Annual Loss</v>
      </c>
      <c r="Q17" s="99" t="b">
        <f>EXACT(B17,'Rebalanced Portfolio'!I81)</f>
        <v>1</v>
      </c>
      <c r="R17" s="99" t="b">
        <f>EXACT(C17,'Non-Rebalanced Portfolio'!$I81)</f>
        <v>1</v>
      </c>
      <c r="S17" s="99" t="b">
        <f>EXACT(D17,'Panic Portfolio'!$I81)</f>
        <v>1</v>
      </c>
      <c r="T17" s="99" t="b">
        <f>EXACT(L17,'60-40 Portfolio'!$I81)</f>
        <v>1</v>
      </c>
      <c r="U17" s="99" t="b">
        <f>EXACT(M17,'SP500 Only'!$I81)</f>
        <v>1</v>
      </c>
    </row>
    <row r="18" spans="1:21" x14ac:dyDescent="0.2">
      <c r="A18" s="1" t="s">
        <v>100</v>
      </c>
      <c r="B18" s="6">
        <f>SUM('Rebalanced Portfolio'!X76)</f>
        <v>0.63634125758629967</v>
      </c>
      <c r="C18" s="6">
        <f>SUM('Non-Rebalanced Portfolio'!X76)</f>
        <v>0.85978503534054274</v>
      </c>
      <c r="D18" s="12">
        <f>('Panic Portfolio'!X76)</f>
        <v>0.77423245885036351</v>
      </c>
      <c r="I18" s="12">
        <f>SUM('Annual Rebalance Portfolio'!P72:U72)</f>
        <v>0.63818216789942128</v>
      </c>
      <c r="L18" s="12">
        <f>'60-40 Portfolio'!X76</f>
        <v>0.62239943913767415</v>
      </c>
      <c r="M18" s="12">
        <f>'SP500 Only'!X76</f>
        <v>1</v>
      </c>
      <c r="P18" s="96" t="str">
        <f t="shared" si="1"/>
        <v>Ending Equity Allocation</v>
      </c>
      <c r="Q18" s="99" t="b">
        <f>EXACT(B18,'Rebalanced Portfolio'!I85)</f>
        <v>1</v>
      </c>
      <c r="R18" s="99" t="b">
        <f>EXACT(C18,'Non-Rebalanced Portfolio'!$I85)</f>
        <v>1</v>
      </c>
      <c r="S18" s="99" t="b">
        <f>EXACT(D18,'Panic Portfolio'!$I85)</f>
        <v>1</v>
      </c>
      <c r="T18" s="99" t="b">
        <f>EXACT(L18,'60-40 Portfolio'!$I85)</f>
        <v>1</v>
      </c>
      <c r="U18" s="99" t="b">
        <f>EXACT(M18,'SP500 Only'!$I85)</f>
        <v>1</v>
      </c>
    </row>
    <row r="19" spans="1:21" x14ac:dyDescent="0.2">
      <c r="A19" s="1" t="s">
        <v>101</v>
      </c>
      <c r="B19" s="6">
        <f>'Rebalanced Portfolio'!V76</f>
        <v>0.36365874241370039</v>
      </c>
      <c r="C19" s="6">
        <f>'Non-Rebalanced Portfolio'!V76</f>
        <v>0.14021496465945746</v>
      </c>
      <c r="D19" s="12">
        <f>'Panic Portfolio'!V76</f>
        <v>0.2257675411496364</v>
      </c>
      <c r="I19" s="12">
        <f>'Annual Rebalance Portfolio'!V72</f>
        <v>0.36181783210057877</v>
      </c>
      <c r="L19" s="12">
        <f>'60-40 Portfolio'!V76</f>
        <v>0.37760056086232585</v>
      </c>
      <c r="M19" s="12">
        <f>'SP500 Only'!V73</f>
        <v>0</v>
      </c>
      <c r="P19" s="96" t="str">
        <f t="shared" si="1"/>
        <v>Ending Fixed-Income Allocation</v>
      </c>
      <c r="Q19" s="99" t="b">
        <f>EXACT(B19,'Rebalanced Portfolio'!I86)</f>
        <v>1</v>
      </c>
      <c r="R19" s="99" t="b">
        <f>EXACT(C19,'Non-Rebalanced Portfolio'!$I86)</f>
        <v>1</v>
      </c>
      <c r="S19" s="99" t="b">
        <f>EXACT(D19,'Panic Portfolio'!$I86)</f>
        <v>1</v>
      </c>
      <c r="T19" s="99" t="b">
        <f>EXACT(L19,'60-40 Portfolio'!$I86)</f>
        <v>1</v>
      </c>
      <c r="U19" s="99" t="b">
        <f>EXACT(M19,'SP500 Only'!$I86)</f>
        <v>1</v>
      </c>
    </row>
    <row r="20" spans="1:21" hidden="1" x14ac:dyDescent="0.2">
      <c r="A20" s="3" t="s">
        <v>102</v>
      </c>
      <c r="B20" s="58">
        <f>B18+B19</f>
        <v>1</v>
      </c>
      <c r="C20" s="58">
        <f>C18+C19</f>
        <v>1.0000000000000002</v>
      </c>
      <c r="D20" s="58">
        <f>D18+D19</f>
        <v>0.99999999999999989</v>
      </c>
      <c r="I20" s="58">
        <f>I18+I19</f>
        <v>1</v>
      </c>
      <c r="P20" s="96"/>
      <c r="Q20" s="96"/>
      <c r="R20" s="96"/>
      <c r="S20" s="96"/>
      <c r="T20" s="96"/>
      <c r="U20" s="96"/>
    </row>
    <row r="21" spans="1:21" x14ac:dyDescent="0.2">
      <c r="A21" s="1"/>
      <c r="B21" s="6"/>
      <c r="C21" s="6"/>
      <c r="F21" s="41"/>
      <c r="G21" s="41"/>
      <c r="H21" s="41"/>
      <c r="P21" s="96"/>
      <c r="Q21" s="96"/>
      <c r="R21" s="96"/>
      <c r="S21" s="96"/>
      <c r="T21" s="96"/>
      <c r="U21" s="96"/>
    </row>
    <row r="22" spans="1:21" x14ac:dyDescent="0.2">
      <c r="A22" s="1"/>
      <c r="B22" s="6"/>
      <c r="C22" s="6"/>
      <c r="F22" s="6"/>
      <c r="G22" s="6"/>
      <c r="H22" s="6"/>
      <c r="P22" s="96"/>
      <c r="Q22" s="96"/>
      <c r="R22" s="96"/>
      <c r="S22" s="96"/>
      <c r="T22" s="96"/>
      <c r="U22" s="96"/>
    </row>
    <row r="23" spans="1:21" x14ac:dyDescent="0.2">
      <c r="B23" s="6"/>
      <c r="C23" s="6"/>
      <c r="F23" s="6"/>
      <c r="G23" s="6"/>
      <c r="H23" s="6"/>
      <c r="P23" s="96"/>
      <c r="Q23" s="96"/>
      <c r="R23" s="96"/>
      <c r="S23" s="96"/>
      <c r="T23" s="96"/>
      <c r="U23" s="96"/>
    </row>
    <row r="24" spans="1:21" x14ac:dyDescent="0.2">
      <c r="A24" s="65" t="s">
        <v>182</v>
      </c>
      <c r="F24" s="6"/>
      <c r="G24" s="6"/>
      <c r="H24" s="6"/>
      <c r="P24" s="96" t="s">
        <v>178</v>
      </c>
      <c r="Q24" s="96"/>
      <c r="R24" s="96"/>
      <c r="S24" s="96"/>
      <c r="T24" s="96"/>
      <c r="U24" s="96"/>
    </row>
    <row r="25" spans="1:21" x14ac:dyDescent="0.2">
      <c r="F25" s="6"/>
      <c r="G25" s="6"/>
      <c r="H25" s="6"/>
      <c r="P25" s="96"/>
      <c r="Q25" s="96"/>
      <c r="R25" s="96"/>
      <c r="S25" s="96"/>
      <c r="T25" s="96"/>
      <c r="U25" s="96"/>
    </row>
    <row r="26" spans="1:21" ht="48" x14ac:dyDescent="0.2">
      <c r="A26" t="s">
        <v>84</v>
      </c>
      <c r="B26" s="41" t="s">
        <v>85</v>
      </c>
      <c r="C26" s="41" t="s">
        <v>86</v>
      </c>
      <c r="D26" s="41" t="s">
        <v>87</v>
      </c>
      <c r="F26" s="41" t="s">
        <v>88</v>
      </c>
      <c r="G26" s="41" t="s">
        <v>89</v>
      </c>
      <c r="H26" s="41" t="s">
        <v>88</v>
      </c>
      <c r="I26" s="41" t="str">
        <f>I11</f>
        <v>Rebalancing Annually</v>
      </c>
      <c r="J26" s="72" t="s">
        <v>88</v>
      </c>
      <c r="K26" s="72" t="s">
        <v>89</v>
      </c>
      <c r="L26" s="41" t="s">
        <v>92</v>
      </c>
      <c r="M26" s="41" t="s">
        <v>93</v>
      </c>
      <c r="N26" s="76"/>
      <c r="P26" s="96" t="str">
        <f>A26</f>
        <v>Portfolio Strategy</v>
      </c>
      <c r="Q26" s="97" t="str">
        <f>B26</f>
        <v>Rebalance at 5% Thresholds</v>
      </c>
      <c r="R26" s="97" t="str">
        <f>C26</f>
        <v>No Rebalancing</v>
      </c>
      <c r="S26" s="97" t="str">
        <f>D26</f>
        <v>Panic and Sell When S&amp;P 500 Falls &gt; 20%</v>
      </c>
      <c r="T26" s="97" t="str">
        <f>L26</f>
        <v>60/40 Allocation</v>
      </c>
      <c r="U26" s="97" t="str">
        <f>M26</f>
        <v>S&amp;P 500 Only</v>
      </c>
    </row>
    <row r="27" spans="1:21" x14ac:dyDescent="0.2">
      <c r="A27" s="9" t="s">
        <v>94</v>
      </c>
      <c r="B27" s="67">
        <f>'4.5% Withdrawals-Rebalanced'!I76</f>
        <v>665040.24312351388</v>
      </c>
      <c r="C27" s="67">
        <f>'4.5% Withdrawals-No Rebalancing'!I76</f>
        <v>764332.09601863893</v>
      </c>
      <c r="D27" s="67">
        <f>'4.5% Withdrawals-Panic'!I75</f>
        <v>427664.22036588332</v>
      </c>
      <c r="E27" s="77"/>
      <c r="F27" s="6">
        <f>(B27-D27)/D27</f>
        <v>0.55505233183768843</v>
      </c>
      <c r="G27" s="6">
        <f>(C27-D27)/D27</f>
        <v>0.787224789028933</v>
      </c>
      <c r="H27" s="6">
        <f>(B27-C27)/C27</f>
        <v>-0.1299066903147604</v>
      </c>
      <c r="I27" s="67">
        <f>'4% Withdrawals-Annual Rebalance'!I76</f>
        <v>754715.85528696398</v>
      </c>
      <c r="J27" s="40">
        <f>B27-D27</f>
        <v>237376.02275763056</v>
      </c>
      <c r="K27" s="40">
        <f>C27-D27</f>
        <v>336667.87565275561</v>
      </c>
      <c r="L27" s="67">
        <f>'4.5% 60-40 Portfolio'!I76</f>
        <v>784721.6017057111</v>
      </c>
      <c r="M27" s="67">
        <f>'4.5% SP500'!I76</f>
        <v>1472887.3923581715</v>
      </c>
      <c r="N27" s="63"/>
      <c r="P27" s="98" t="str">
        <f>A27</f>
        <v>Ending Portfolio Value</v>
      </c>
      <c r="Q27" s="99" t="b">
        <f>EXACT(B27,'4.5% Withdrawals-Rebalanced'!$I76)</f>
        <v>1</v>
      </c>
      <c r="R27" s="99" t="b">
        <f>EXACT(C27,'4.5% Withdrawals-No Rebalancing'!$I76)</f>
        <v>1</v>
      </c>
      <c r="S27" s="99" t="b">
        <f>EXACT(D27,'4.5% Withdrawals-Panic'!I75)</f>
        <v>1</v>
      </c>
      <c r="T27" s="99" t="b">
        <f>EXACT(L27,'4.5% 60-40 Portfolio'!$I76)</f>
        <v>1</v>
      </c>
      <c r="U27" s="99" t="b">
        <f>EXACT(M27,'4.5% SP500'!$I76)</f>
        <v>1</v>
      </c>
    </row>
    <row r="28" spans="1:21" x14ac:dyDescent="0.2">
      <c r="A28" s="11" t="s">
        <v>95</v>
      </c>
      <c r="B28" s="70">
        <f>'4.5% Withdrawals-Rebalanced'!I77</f>
        <v>5.6504024312351389</v>
      </c>
      <c r="C28" s="70">
        <f>'4.5% Withdrawals-No Rebalancing'!I77</f>
        <v>6.6433209601863892</v>
      </c>
      <c r="D28" s="70">
        <f>'4.5% Withdrawals-Panic'!I76</f>
        <v>3.2766422036588332</v>
      </c>
      <c r="E28" s="77"/>
      <c r="F28" s="6">
        <f>(B28-D28)/D28</f>
        <v>0.72444901824363594</v>
      </c>
      <c r="G28" s="6">
        <f>(C28-D28)/D28</f>
        <v>1.0274782985973214</v>
      </c>
      <c r="H28" s="6">
        <f t="shared" ref="H28:H32" si="2">(B28-C28)/C28</f>
        <v>-0.14946117083636923</v>
      </c>
      <c r="I28" s="70">
        <f>'4% Withdrawals-Annual Rebalance'!I77</f>
        <v>6.5471585528696394</v>
      </c>
      <c r="L28" s="70">
        <f>'4.5% 60-40 Portfolio'!I77</f>
        <v>6.8472160170571108</v>
      </c>
      <c r="M28" s="70">
        <f>'4.5% SP500'!I77</f>
        <v>13.728873923581714</v>
      </c>
      <c r="P28" s="100" t="str">
        <f t="shared" ref="P28:P34" si="3">A28</f>
        <v>Total Return</v>
      </c>
      <c r="Q28" s="99" t="b">
        <f>EXACT(B28,'4.5% Withdrawals-Rebalanced'!$I77)</f>
        <v>1</v>
      </c>
      <c r="R28" s="99" t="b">
        <f>EXACT(C28,'4.5% Withdrawals-No Rebalancing'!$I77)</f>
        <v>1</v>
      </c>
      <c r="S28" s="99" t="b">
        <f>EXACT(D28,'4.5% Withdrawals-Panic'!$I76)</f>
        <v>1</v>
      </c>
      <c r="T28" s="99" t="b">
        <f>EXACT(L28,'4.5% 60-40 Portfolio'!$I77)</f>
        <v>1</v>
      </c>
      <c r="U28" s="99" t="b">
        <f>EXACT(M28,'4.5% SP500'!$I77)</f>
        <v>1</v>
      </c>
    </row>
    <row r="29" spans="1:21" x14ac:dyDescent="0.2">
      <c r="A29" s="1" t="s">
        <v>96</v>
      </c>
      <c r="B29" s="70">
        <f>'4.5% Withdrawals-Rebalanced'!I78</f>
        <v>0.10152285415692749</v>
      </c>
      <c r="C29" s="70">
        <f>'4.5% Withdrawals-No Rebalancing'!I78</f>
        <v>0.11378775352002944</v>
      </c>
      <c r="D29" s="70">
        <f>'4.5% Withdrawals-Panic'!I77</f>
        <v>0.10450323954131549</v>
      </c>
      <c r="E29" s="77"/>
      <c r="F29" s="6">
        <f>(B29-D29)/D29</f>
        <v>-2.851955018303233E-2</v>
      </c>
      <c r="G29" s="6">
        <f>(C29-D29)/D29</f>
        <v>8.8844269512270063E-2</v>
      </c>
      <c r="H29" s="6">
        <f t="shared" si="2"/>
        <v>-0.10778751652692592</v>
      </c>
      <c r="I29" s="70">
        <f>'4% Withdrawals-Annual Rebalance'!I78</f>
        <v>0.10164369458600014</v>
      </c>
      <c r="L29" s="70">
        <f>'4.5% 60-40 Portfolio'!I78</f>
        <v>0.10465886606660718</v>
      </c>
      <c r="M29" s="70">
        <f>'4.5% SP500'!I78</f>
        <v>0.16764097304729628</v>
      </c>
      <c r="P29" s="96" t="str">
        <f t="shared" si="3"/>
        <v>Standard Deviation</v>
      </c>
      <c r="Q29" s="99" t="b">
        <f>EXACT(B29,'4.5% Withdrawals-Rebalanced'!$I78)</f>
        <v>1</v>
      </c>
      <c r="R29" s="99" t="b">
        <f>EXACT(C29,'4.5% Withdrawals-No Rebalancing'!$I78)</f>
        <v>1</v>
      </c>
      <c r="S29" s="99" t="b">
        <f>EXACT(D29,'4.5% Withdrawals-Panic'!$I77)</f>
        <v>1</v>
      </c>
      <c r="T29" s="99" t="b">
        <f>EXACT(L29,'4.5% 60-40 Portfolio'!$I78)</f>
        <v>1</v>
      </c>
      <c r="U29" s="99" t="b">
        <f>EXACT(M29,'4.5% SP500'!$I78)</f>
        <v>1</v>
      </c>
    </row>
    <row r="30" spans="1:21" x14ac:dyDescent="0.2">
      <c r="A30" s="1" t="s">
        <v>97</v>
      </c>
      <c r="B30" s="70">
        <f>'4.5% Withdrawals-Rebalanced'!I79</f>
        <v>5.9094677881336599E-2</v>
      </c>
      <c r="C30" s="70">
        <f>'4.5% Withdrawals-No Rebalancing'!I79</f>
        <v>6.3570111217302161E-2</v>
      </c>
      <c r="D30" s="70">
        <f>'4.5% Withdrawals-Panic'!I78</f>
        <v>4.5019346963245832E-2</v>
      </c>
      <c r="E30" s="77"/>
      <c r="F30" s="6">
        <f>(B30-D30)/D30</f>
        <v>0.31265071280536305</v>
      </c>
      <c r="G30" s="6">
        <f>(C30-D30)/D30</f>
        <v>0.41206204677294245</v>
      </c>
      <c r="H30" s="6">
        <f t="shared" si="2"/>
        <v>-7.0401533838239744E-2</v>
      </c>
      <c r="I30" s="70">
        <f>'4% Withdrawals-Annual Rebalance'!I79</f>
        <v>6.3162131554053591E-2</v>
      </c>
      <c r="L30" s="70">
        <f>'4.5% 60-40 Portfolio'!I79</f>
        <v>6.4418941243207462E-2</v>
      </c>
      <c r="M30" s="70">
        <f>'4.5% SP500'!I79</f>
        <v>9.0643683659088481E-2</v>
      </c>
      <c r="P30" s="96" t="str">
        <f t="shared" si="3"/>
        <v>Annualized Return</v>
      </c>
      <c r="Q30" s="99" t="b">
        <f>EXACT(B30,'4.5% Withdrawals-Rebalanced'!$I79)</f>
        <v>1</v>
      </c>
      <c r="R30" s="99" t="b">
        <f>EXACT(C30,'4.5% Withdrawals-No Rebalancing'!$I79)</f>
        <v>1</v>
      </c>
      <c r="S30" s="99" t="b">
        <f>EXACT(D30,'4.5% Withdrawals-Panic'!$I78)</f>
        <v>1</v>
      </c>
      <c r="T30" s="99" t="b">
        <f>EXACT(L30,'4.5% 60-40 Portfolio'!$I79)</f>
        <v>1</v>
      </c>
      <c r="U30" s="99" t="b">
        <f>EXACT(M30,'4.5% SP500'!$I79)</f>
        <v>1</v>
      </c>
    </row>
    <row r="31" spans="1:21" x14ac:dyDescent="0.2">
      <c r="A31" s="1" t="s">
        <v>98</v>
      </c>
      <c r="B31" s="68">
        <f>'4.5% Withdrawals-Rebalanced'!I80</f>
        <v>-88824.225501381792</v>
      </c>
      <c r="C31" s="68">
        <f>'4.5% Withdrawals-No Rebalancing'!I80</f>
        <v>-104334.06994697731</v>
      </c>
      <c r="D31" s="69">
        <f>'4.5% Withdrawals-Panic'!I79</f>
        <v>-85899.188776732888</v>
      </c>
      <c r="E31" s="77"/>
      <c r="F31" s="68">
        <f>B31-D31</f>
        <v>-2925.0367246489041</v>
      </c>
      <c r="G31" s="68">
        <f>C31-D31</f>
        <v>-18434.881170244422</v>
      </c>
      <c r="H31" s="68">
        <f>B31-C31</f>
        <v>15509.844445595518</v>
      </c>
      <c r="I31" s="69">
        <f>'4% Withdrawals-Annual Rebalance'!I80</f>
        <v>-94788.155713741784</v>
      </c>
      <c r="L31" s="69">
        <f>'4.5% 60-40 Portfolio'!I80</f>
        <v>-85902.110463649908</v>
      </c>
      <c r="M31" s="69">
        <f>'4.5% SP500'!I80</f>
        <v>-210098.56039365818</v>
      </c>
      <c r="P31" s="96" t="str">
        <f t="shared" si="3"/>
        <v>Largest Drawdown</v>
      </c>
      <c r="Q31" s="99" t="b">
        <f>EXACT(B31,'4.5% Withdrawals-Rebalanced'!$I80)</f>
        <v>1</v>
      </c>
      <c r="R31" s="99" t="b">
        <f>EXACT(C31,'4.5% Withdrawals-No Rebalancing'!$I80)</f>
        <v>1</v>
      </c>
      <c r="S31" s="99" t="b">
        <f>EXACT(D31,'4.5% Withdrawals-Panic'!$I79)</f>
        <v>1</v>
      </c>
      <c r="T31" s="99" t="b">
        <f>EXACT(L31,'4.5% 60-40 Portfolio'!$I80)</f>
        <v>1</v>
      </c>
      <c r="U31" s="99" t="b">
        <f>EXACT(M31,'4.5% SP500'!$I80)</f>
        <v>1</v>
      </c>
    </row>
    <row r="32" spans="1:21" x14ac:dyDescent="0.2">
      <c r="A32" s="1" t="s">
        <v>99</v>
      </c>
      <c r="B32" s="6">
        <f>'4.5% Withdrawals-Rebalanced'!I81</f>
        <v>-0.23656360991788461</v>
      </c>
      <c r="C32" s="70">
        <f>'4.5% Withdrawals-No Rebalancing'!I81</f>
        <v>-0.28003161052382686</v>
      </c>
      <c r="D32" s="70">
        <f>'4.5% Withdrawals-Panic'!I80</f>
        <v>-0.26879941737024393</v>
      </c>
      <c r="E32" s="77"/>
      <c r="F32" s="6">
        <f>(B32-D32)/D32</f>
        <v>-0.11992513885533378</v>
      </c>
      <c r="G32" s="6">
        <f>(C32-D32)/D32</f>
        <v>4.1786523436216076E-2</v>
      </c>
      <c r="H32" s="6">
        <f t="shared" si="2"/>
        <v>-0.15522533518494946</v>
      </c>
      <c r="I32" s="70">
        <f>'4% Withdrawals-Annual Rebalance'!I81</f>
        <v>-0.23419068766314199</v>
      </c>
      <c r="L32" s="70">
        <f>'4.5% 60-40 Portfolio'!I81</f>
        <v>-0.22005990172125856</v>
      </c>
      <c r="M32" s="70">
        <f>'4.5% SP500'!I81</f>
        <v>-0.38064271415362783</v>
      </c>
      <c r="P32" s="96" t="str">
        <f t="shared" si="3"/>
        <v>Largest Annual Loss</v>
      </c>
      <c r="Q32" s="99" t="b">
        <f>EXACT(B32,'4.5% Withdrawals-Rebalanced'!$I81)</f>
        <v>1</v>
      </c>
      <c r="R32" s="99" t="b">
        <f>EXACT(C32,'4.5% Withdrawals-No Rebalancing'!$I81)</f>
        <v>1</v>
      </c>
      <c r="S32" s="99" t="b">
        <f>EXACT(D32,'4.5% Withdrawals-Panic'!$I80)</f>
        <v>1</v>
      </c>
      <c r="T32" s="99" t="b">
        <f>EXACT(L32,'4.5% 60-40 Portfolio'!$I81)</f>
        <v>1</v>
      </c>
      <c r="U32" s="99" t="b">
        <f>EXACT(M32,'4.5% SP500'!$I81)</f>
        <v>1</v>
      </c>
    </row>
    <row r="33" spans="1:21" x14ac:dyDescent="0.2">
      <c r="A33" s="1" t="s">
        <v>103</v>
      </c>
      <c r="B33" s="68">
        <f>'4.5% Withdrawals-No Rebalancing'!O77</f>
        <v>270336.47731494257</v>
      </c>
      <c r="C33" s="68">
        <f>'4.5% Withdrawals-No Rebalancing'!I82</f>
        <v>270336.47731494257</v>
      </c>
      <c r="D33" s="69">
        <f>'4.5% Withdrawals-Panic'!I81</f>
        <v>270336.47731494257</v>
      </c>
      <c r="E33" s="77"/>
      <c r="F33" s="68">
        <f>B33-D33</f>
        <v>0</v>
      </c>
      <c r="G33" s="68">
        <f>C33-D33</f>
        <v>0</v>
      </c>
      <c r="H33" s="68">
        <f>B33-C33</f>
        <v>0</v>
      </c>
      <c r="I33" s="69">
        <f>'4% Withdrawals-Annual Rebalance'!I82</f>
        <v>240299.09094661573</v>
      </c>
      <c r="L33" s="69">
        <f>'4.5% 60-40 Portfolio'!I82</f>
        <v>267333.97642328503</v>
      </c>
      <c r="M33" s="69">
        <f>'4.5% SP500'!I82</f>
        <v>275752.22539685271</v>
      </c>
      <c r="P33" s="96" t="str">
        <f t="shared" si="3"/>
        <v>Total Withdrawals</v>
      </c>
      <c r="Q33" s="99" t="b">
        <f>EXACT(B33,'4.5% Withdrawals-Rebalanced'!$I82)</f>
        <v>1</v>
      </c>
      <c r="R33" s="99" t="b">
        <f>EXACT(C33,'4.5% Withdrawals-No Rebalancing'!$I82)</f>
        <v>1</v>
      </c>
      <c r="S33" s="99" t="b">
        <f>EXACT(D33,'4.5% Withdrawals-Panic'!$I81)</f>
        <v>1</v>
      </c>
      <c r="T33" s="99" t="b">
        <f>EXACT(L33,'4.5% 60-40 Portfolio'!$I82)</f>
        <v>1</v>
      </c>
      <c r="U33" s="99" t="b">
        <f>EXACT(M33,'4.5% SP500'!$I82)</f>
        <v>1</v>
      </c>
    </row>
    <row r="34" spans="1:21" x14ac:dyDescent="0.2">
      <c r="A34" t="str">
        <f>A18</f>
        <v>Ending Equity Allocation</v>
      </c>
      <c r="B34" s="6">
        <f>'4.5% Withdrawals-Rebalanced'!AP76</f>
        <v>0.6160117913577885</v>
      </c>
      <c r="C34" s="6">
        <f>'4.5% Withdrawals-No Rebalancing'!AO76</f>
        <v>0.82071236038251039</v>
      </c>
      <c r="D34" s="12">
        <f>'4.5% Withdrawals-Panic'!AP75</f>
        <v>0.73633250693520247</v>
      </c>
      <c r="E34" s="77"/>
      <c r="F34" s="78"/>
      <c r="G34" s="6"/>
      <c r="H34" s="78"/>
      <c r="I34" s="70">
        <f>SUM('4% Withdrawals-Annual Rebalance'!AH72:AM72)</f>
        <v>0.63571817323110946</v>
      </c>
      <c r="L34" s="12">
        <f>'4.5% 60-40 Portfolio'!AP76</f>
        <v>0.58894354772002711</v>
      </c>
      <c r="M34" s="12">
        <f>'4.5% SP500'!AO76</f>
        <v>1</v>
      </c>
      <c r="P34" s="96" t="str">
        <f t="shared" si="3"/>
        <v>Ending Equity Allocation</v>
      </c>
      <c r="Q34" s="99" t="b">
        <f>EXACT(B34,'4.5% Withdrawals-Rebalanced'!$I87)</f>
        <v>1</v>
      </c>
      <c r="R34" s="99" t="b">
        <f>EXACT(C34,'4.5% Withdrawals-No Rebalancing'!$I87)</f>
        <v>1</v>
      </c>
      <c r="S34" s="99" t="b">
        <f>EXACT(D34,'4.5% Withdrawals-Panic'!I86)</f>
        <v>1</v>
      </c>
      <c r="T34" s="99" t="b">
        <f>EXACT(L34,'4.5% 60-40 Portfolio'!$I87)</f>
        <v>1</v>
      </c>
      <c r="U34" s="99" t="b">
        <f>EXACT(M34,'4.5% SP500'!$I87)</f>
        <v>1</v>
      </c>
    </row>
    <row r="35" spans="1:21" x14ac:dyDescent="0.2">
      <c r="A35" t="str">
        <f t="shared" ref="A35:A36" si="4">A19</f>
        <v>Ending Fixed-Income Allocation</v>
      </c>
      <c r="B35" s="6">
        <f>'4.5% Withdrawals-Rebalanced'!AN76</f>
        <v>0.3839882086422115</v>
      </c>
      <c r="C35" s="6">
        <f>'4.5% Withdrawals-No Rebalancing'!AM76</f>
        <v>0.17928763961748942</v>
      </c>
      <c r="D35" s="12">
        <f>'4.5% Withdrawals-Panic'!AN75</f>
        <v>0.26366749306479736</v>
      </c>
      <c r="E35" s="77"/>
      <c r="F35" s="77"/>
      <c r="G35" s="77"/>
      <c r="H35" s="77"/>
      <c r="I35" s="12">
        <f>'4% Withdrawals-Annual Rebalance'!AN72</f>
        <v>0.36428182676889048</v>
      </c>
      <c r="L35" s="12">
        <f>'4.5% 60-40 Portfolio'!AN76</f>
        <v>0.37728739427960234</v>
      </c>
      <c r="M35" s="12">
        <f>'4.5% SP500'!AM72</f>
        <v>0</v>
      </c>
      <c r="P35" s="96" t="str">
        <f t="shared" ref="P35" si="5">A35</f>
        <v>Ending Fixed-Income Allocation</v>
      </c>
      <c r="Q35" s="99" t="b">
        <f>EXACT(B35,'4.5% Withdrawals-Rebalanced'!$I88)</f>
        <v>1</v>
      </c>
      <c r="R35" s="99" t="b">
        <f>EXACT(C35,'4.5% Withdrawals-No Rebalancing'!$I88)</f>
        <v>1</v>
      </c>
      <c r="S35" s="99" t="b">
        <f>EXACT(D35,'4.5% Withdrawals-Panic'!I87)</f>
        <v>1</v>
      </c>
      <c r="T35" s="99" t="b">
        <f>EXACT(L35,'4.5% 60-40 Portfolio'!$I88)</f>
        <v>1</v>
      </c>
      <c r="U35" s="99" t="b">
        <f>EXACT(M35,'4.5% SP500'!$I88)</f>
        <v>1</v>
      </c>
    </row>
    <row r="36" spans="1:21" hidden="1" x14ac:dyDescent="0.2">
      <c r="A36" s="3" t="str">
        <f t="shared" si="4"/>
        <v>Allocation Check</v>
      </c>
      <c r="B36" s="66">
        <f>SUM(B34:B35)</f>
        <v>1</v>
      </c>
      <c r="C36" s="66">
        <f>SUM(C34:C35)</f>
        <v>0.99999999999999978</v>
      </c>
      <c r="D36" s="66">
        <f>SUM(D34:D35)</f>
        <v>0.99999999999999978</v>
      </c>
      <c r="I36" s="66">
        <f>SUM(I34:I35)</f>
        <v>1</v>
      </c>
    </row>
    <row r="37" spans="1:21" x14ac:dyDescent="0.2">
      <c r="C37" s="7"/>
    </row>
    <row r="40" spans="1:21" x14ac:dyDescent="0.2">
      <c r="E40" s="20"/>
    </row>
  </sheetData>
  <phoneticPr fontId="11" type="noConversion"/>
  <pageMargins left="0.2" right="0.2" top="0.5" bottom="0.5" header="0.3" footer="0.3"/>
  <pageSetup scale="92" orientation="landscape" r:id="rId1"/>
  <headerFooter>
    <oddFooter>&amp;A</oddFooter>
  </headerFooter>
  <rowBreaks count="1" manualBreakCount="1">
    <brk id="23" max="16383" man="1"/>
  </rowBreaks>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6"/>
  <sheetViews>
    <sheetView zoomScale="110" zoomScaleNormal="110" workbookViewId="0">
      <pane ySplit="3" topLeftCell="A4" activePane="bottomLeft" state="frozen"/>
      <selection pane="bottomLeft" activeCell="A36" sqref="A36:H3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1.6640625" customWidth="1"/>
    <col min="10" max="10" width="10" bestFit="1" customWidth="1"/>
  </cols>
  <sheetData>
    <row r="1" spans="1:8" x14ac:dyDescent="0.2">
      <c r="A1" s="20" t="s">
        <v>104</v>
      </c>
    </row>
    <row r="2" spans="1:8" x14ac:dyDescent="0.2">
      <c r="A2" s="14"/>
      <c r="B2" s="14" t="s">
        <v>105</v>
      </c>
      <c r="C2" s="14" t="s">
        <v>106</v>
      </c>
      <c r="D2" s="14" t="s">
        <v>107</v>
      </c>
      <c r="E2" s="14" t="s">
        <v>108</v>
      </c>
      <c r="F2" s="14" t="s">
        <v>109</v>
      </c>
      <c r="G2" s="14" t="s">
        <v>110</v>
      </c>
      <c r="H2" s="14" t="s">
        <v>66</v>
      </c>
    </row>
    <row r="3" spans="1:8" x14ac:dyDescent="0.2">
      <c r="A3" s="14" t="s">
        <v>111</v>
      </c>
      <c r="B3" s="14" t="s">
        <v>112</v>
      </c>
      <c r="C3" s="14" t="s">
        <v>113</v>
      </c>
      <c r="D3" s="14" t="s">
        <v>114</v>
      </c>
      <c r="E3" s="14" t="s">
        <v>115</v>
      </c>
      <c r="F3" s="14" t="s">
        <v>116</v>
      </c>
      <c r="G3" s="14" t="s">
        <v>117</v>
      </c>
      <c r="H3" s="14" t="s">
        <v>118</v>
      </c>
    </row>
    <row r="4" spans="1:8" x14ac:dyDescent="0.2">
      <c r="A4" s="14">
        <v>1988</v>
      </c>
      <c r="B4" s="14">
        <v>16.22</v>
      </c>
      <c r="C4" s="14">
        <v>19.747</v>
      </c>
      <c r="D4" s="14"/>
      <c r="E4" s="14"/>
      <c r="F4" s="14">
        <v>18.777999999999999</v>
      </c>
      <c r="G4" s="14"/>
      <c r="H4" s="14">
        <v>7.35</v>
      </c>
    </row>
    <row r="5" spans="1:8" x14ac:dyDescent="0.2">
      <c r="A5" s="14">
        <v>1989</v>
      </c>
      <c r="B5" s="14">
        <v>31.36</v>
      </c>
      <c r="C5" s="14">
        <v>24.096</v>
      </c>
      <c r="D5" s="14"/>
      <c r="E5" s="14"/>
      <c r="F5" s="14">
        <v>25.971</v>
      </c>
      <c r="G5" s="14"/>
      <c r="H5" s="14">
        <v>13.64</v>
      </c>
    </row>
    <row r="6" spans="1:8" x14ac:dyDescent="0.2">
      <c r="A6" s="14">
        <v>1990</v>
      </c>
      <c r="B6" s="14">
        <v>-3.32</v>
      </c>
      <c r="C6" s="14">
        <v>-14.045</v>
      </c>
      <c r="D6" s="14"/>
      <c r="E6" s="14"/>
      <c r="F6" s="14">
        <v>-12.26</v>
      </c>
      <c r="G6" s="14"/>
      <c r="H6" s="14">
        <v>8.65</v>
      </c>
    </row>
    <row r="7" spans="1:8" x14ac:dyDescent="0.2">
      <c r="A7" s="14">
        <v>1991</v>
      </c>
      <c r="B7" s="14">
        <v>30.22</v>
      </c>
      <c r="C7" s="14">
        <v>41.85</v>
      </c>
      <c r="D7" s="14"/>
      <c r="E7" s="14"/>
      <c r="F7" s="14">
        <v>9.9559999999999995</v>
      </c>
      <c r="G7" s="14"/>
      <c r="H7" s="14">
        <v>15.25</v>
      </c>
    </row>
    <row r="8" spans="1:8" x14ac:dyDescent="0.2">
      <c r="A8" s="14">
        <v>1992</v>
      </c>
      <c r="B8" s="14">
        <v>7.42</v>
      </c>
      <c r="C8" s="14">
        <v>12.465999999999999</v>
      </c>
      <c r="D8" s="14"/>
      <c r="E8" s="14"/>
      <c r="F8" s="14">
        <v>-8.7210000000000001</v>
      </c>
      <c r="G8" s="14"/>
      <c r="H8" s="14">
        <v>7.14</v>
      </c>
    </row>
    <row r="9" spans="1:8" x14ac:dyDescent="0.2">
      <c r="A9" s="14">
        <v>1993</v>
      </c>
      <c r="B9" s="14">
        <v>9.89</v>
      </c>
      <c r="C9" s="14">
        <v>14.49</v>
      </c>
      <c r="D9" s="14"/>
      <c r="E9" s="14"/>
      <c r="F9" s="14">
        <v>30.494</v>
      </c>
      <c r="G9" s="14"/>
      <c r="H9" s="14">
        <v>9.68</v>
      </c>
    </row>
    <row r="10" spans="1:8" x14ac:dyDescent="0.2">
      <c r="A10" s="14">
        <v>1994</v>
      </c>
      <c r="B10" s="14">
        <v>1.18</v>
      </c>
      <c r="C10" s="14">
        <v>-1.764</v>
      </c>
      <c r="D10" s="14"/>
      <c r="E10" s="14"/>
      <c r="F10" s="14">
        <v>5.2549999999999999</v>
      </c>
      <c r="G10" s="14"/>
      <c r="H10" s="14">
        <v>-2.66</v>
      </c>
    </row>
    <row r="11" spans="1:8" x14ac:dyDescent="0.2">
      <c r="A11" s="14">
        <v>1995</v>
      </c>
      <c r="B11" s="14">
        <v>37.450000000000003</v>
      </c>
      <c r="C11" s="14">
        <v>33.796999999999997</v>
      </c>
      <c r="D11" s="14"/>
      <c r="E11" s="14"/>
      <c r="F11" s="14">
        <v>9.6460000000000008</v>
      </c>
      <c r="G11" s="14"/>
      <c r="H11" s="14">
        <v>18.18</v>
      </c>
    </row>
    <row r="12" spans="1:8" x14ac:dyDescent="0.2">
      <c r="A12" s="14">
        <v>1996</v>
      </c>
      <c r="B12" s="14">
        <v>22.88</v>
      </c>
      <c r="C12" s="14">
        <v>17.646999999999998</v>
      </c>
      <c r="D12" s="14"/>
      <c r="E12" s="14"/>
      <c r="F12" s="14">
        <v>10.218999999999999</v>
      </c>
      <c r="G12" s="14"/>
      <c r="H12" s="14">
        <v>3.58</v>
      </c>
    </row>
    <row r="13" spans="1:8" x14ac:dyDescent="0.2">
      <c r="A13" s="14">
        <v>1997</v>
      </c>
      <c r="B13" s="14">
        <v>33.19</v>
      </c>
      <c r="C13" s="14">
        <v>26.687000000000001</v>
      </c>
      <c r="D13" s="14"/>
      <c r="E13" s="14"/>
      <c r="F13" s="14"/>
      <c r="G13" s="16">
        <v>-0.77500000000000002</v>
      </c>
      <c r="H13" s="14">
        <v>9.44</v>
      </c>
    </row>
    <row r="14" spans="1:8" x14ac:dyDescent="0.2">
      <c r="A14" s="14">
        <v>1998</v>
      </c>
      <c r="B14" s="14">
        <v>28.66</v>
      </c>
      <c r="C14" s="14">
        <v>8.3529999999999998</v>
      </c>
      <c r="D14" s="14"/>
      <c r="E14" s="14"/>
      <c r="F14" s="14"/>
      <c r="G14" s="14">
        <v>15.603</v>
      </c>
      <c r="H14" s="14">
        <v>8.58</v>
      </c>
    </row>
    <row r="15" spans="1:8" x14ac:dyDescent="0.2">
      <c r="A15" s="14">
        <v>1999</v>
      </c>
      <c r="B15" s="14">
        <v>21.07</v>
      </c>
      <c r="C15" s="14"/>
      <c r="D15" s="16">
        <v>15.319000000000001</v>
      </c>
      <c r="E15" s="16">
        <v>23.132999999999999</v>
      </c>
      <c r="F15" s="14"/>
      <c r="G15" s="14">
        <v>29.919</v>
      </c>
      <c r="H15" s="14">
        <v>-0.76</v>
      </c>
    </row>
    <row r="16" spans="1:8" x14ac:dyDescent="0.2">
      <c r="A16" s="14">
        <v>2000</v>
      </c>
      <c r="B16" s="14">
        <v>-9.06</v>
      </c>
      <c r="C16" s="14"/>
      <c r="D16" s="14">
        <v>18.097999999999999</v>
      </c>
      <c r="E16" s="14">
        <v>-2.665</v>
      </c>
      <c r="F16" s="14"/>
      <c r="G16" s="14">
        <v>-15.614000000000001</v>
      </c>
      <c r="H16" s="14">
        <v>11.39</v>
      </c>
    </row>
    <row r="17" spans="1:8" x14ac:dyDescent="0.2">
      <c r="A17" s="14">
        <v>2001</v>
      </c>
      <c r="B17" s="14">
        <v>-12.02</v>
      </c>
      <c r="C17" s="14"/>
      <c r="D17" s="14">
        <v>-0.499</v>
      </c>
      <c r="E17" s="14">
        <v>3.1</v>
      </c>
      <c r="F17" s="14"/>
      <c r="G17" s="14">
        <v>-20.152999999999999</v>
      </c>
      <c r="H17" s="14">
        <v>8.43</v>
      </c>
    </row>
    <row r="18" spans="1:8" x14ac:dyDescent="0.2">
      <c r="A18" s="14">
        <v>2002</v>
      </c>
      <c r="B18" s="14">
        <v>-22.15</v>
      </c>
      <c r="C18" s="14"/>
      <c r="D18" s="14">
        <v>-14.608000000000001</v>
      </c>
      <c r="E18" s="14">
        <v>-20.021999999999998</v>
      </c>
      <c r="F18" s="14"/>
      <c r="G18" s="14">
        <v>-15.083</v>
      </c>
      <c r="H18" s="14">
        <v>8.26</v>
      </c>
    </row>
    <row r="19" spans="1:8" x14ac:dyDescent="0.2">
      <c r="A19" s="14">
        <v>2003</v>
      </c>
      <c r="B19" s="14">
        <v>28.5</v>
      </c>
      <c r="C19" s="14"/>
      <c r="D19" s="14">
        <v>34.142000000000003</v>
      </c>
      <c r="E19" s="14">
        <v>45.628</v>
      </c>
      <c r="F19" s="14"/>
      <c r="G19" s="14">
        <v>40.340000000000003</v>
      </c>
      <c r="H19" s="14">
        <v>3.97</v>
      </c>
    </row>
    <row r="20" spans="1:8" x14ac:dyDescent="0.2">
      <c r="A20" s="14">
        <v>2004</v>
      </c>
      <c r="B20" s="14">
        <v>10.74</v>
      </c>
      <c r="C20" s="14"/>
      <c r="D20" s="14">
        <v>20.353000000000002</v>
      </c>
      <c r="E20" s="14">
        <v>19.896999999999998</v>
      </c>
      <c r="F20" s="14"/>
      <c r="G20" s="14">
        <v>20.837</v>
      </c>
      <c r="H20" s="14">
        <v>4.24</v>
      </c>
    </row>
    <row r="21" spans="1:8" x14ac:dyDescent="0.2">
      <c r="A21" s="14">
        <v>2005</v>
      </c>
      <c r="B21" s="14">
        <v>4.7699999999999996</v>
      </c>
      <c r="C21" s="14"/>
      <c r="D21" s="14">
        <v>13.930999999999999</v>
      </c>
      <c r="E21" s="14">
        <v>7.3630000000000004</v>
      </c>
      <c r="F21" s="14"/>
      <c r="G21" s="14">
        <v>15.571</v>
      </c>
      <c r="H21" s="14">
        <v>2.4</v>
      </c>
    </row>
    <row r="22" spans="1:8" x14ac:dyDescent="0.2">
      <c r="A22" s="14">
        <v>2006</v>
      </c>
      <c r="B22" s="14">
        <v>15.64</v>
      </c>
      <c r="C22" s="14"/>
      <c r="D22" s="14">
        <v>13.597</v>
      </c>
      <c r="E22" s="14">
        <v>15.656000000000001</v>
      </c>
      <c r="F22" s="14"/>
      <c r="G22" s="14">
        <v>26.637</v>
      </c>
      <c r="H22" s="14">
        <v>4.2699999999999996</v>
      </c>
    </row>
    <row r="23" spans="1:8" x14ac:dyDescent="0.2">
      <c r="A23" s="14">
        <v>2007</v>
      </c>
      <c r="B23" s="14">
        <v>5.39</v>
      </c>
      <c r="C23" s="14"/>
      <c r="D23" s="14">
        <v>6.0209999999999999</v>
      </c>
      <c r="E23" s="14">
        <v>1.1559999999999999</v>
      </c>
      <c r="F23" s="14"/>
      <c r="G23" s="14">
        <v>15.522</v>
      </c>
      <c r="H23" s="14">
        <v>6.92</v>
      </c>
    </row>
    <row r="24" spans="1:8" x14ac:dyDescent="0.2">
      <c r="A24" s="14">
        <v>2008</v>
      </c>
      <c r="B24" s="14">
        <v>-37.020000000000003</v>
      </c>
      <c r="C24" s="14"/>
      <c r="D24" s="14">
        <v>-41.823999999999998</v>
      </c>
      <c r="E24" s="14">
        <v>-36.07</v>
      </c>
      <c r="F24" s="14"/>
      <c r="G24" s="14">
        <v>-44.100999999999999</v>
      </c>
      <c r="H24" s="14">
        <v>5.05</v>
      </c>
    </row>
    <row r="25" spans="1:8" x14ac:dyDescent="0.2">
      <c r="A25" s="14">
        <v>2009</v>
      </c>
      <c r="B25" s="14">
        <v>26.49</v>
      </c>
      <c r="C25" s="14"/>
      <c r="D25" s="14">
        <v>40.218000000000004</v>
      </c>
      <c r="E25" s="14">
        <v>36.118000000000002</v>
      </c>
      <c r="F25" s="14"/>
      <c r="G25" s="14">
        <v>36.726999999999997</v>
      </c>
      <c r="H25" s="14">
        <v>5.93</v>
      </c>
    </row>
    <row r="26" spans="1:8" x14ac:dyDescent="0.2">
      <c r="A26" s="14">
        <v>2010</v>
      </c>
      <c r="B26" s="14">
        <v>14.91</v>
      </c>
      <c r="C26" s="14"/>
      <c r="D26" s="14">
        <v>25.46</v>
      </c>
      <c r="E26" s="14">
        <v>27.72</v>
      </c>
      <c r="F26" s="14"/>
      <c r="G26" s="14">
        <v>11.12</v>
      </c>
      <c r="H26" s="14">
        <v>6.42</v>
      </c>
    </row>
    <row r="27" spans="1:8" x14ac:dyDescent="0.2">
      <c r="A27" s="14">
        <v>2011</v>
      </c>
      <c r="B27" s="14">
        <v>1.97</v>
      </c>
      <c r="C27" s="14"/>
      <c r="D27" s="14">
        <v>-2.11</v>
      </c>
      <c r="E27" s="15">
        <v>-2.8</v>
      </c>
      <c r="F27" s="14"/>
      <c r="G27" s="14">
        <v>-14.56</v>
      </c>
      <c r="H27" s="14">
        <v>7.56</v>
      </c>
    </row>
    <row r="28" spans="1:8" x14ac:dyDescent="0.2">
      <c r="A28" s="14">
        <v>2012</v>
      </c>
      <c r="B28" s="15">
        <v>15.82</v>
      </c>
      <c r="C28" s="15"/>
      <c r="D28" s="15">
        <v>15.8</v>
      </c>
      <c r="E28" s="15">
        <v>18.04</v>
      </c>
      <c r="F28" s="15"/>
      <c r="G28" s="15">
        <v>18.14</v>
      </c>
      <c r="H28" s="15">
        <v>4.05</v>
      </c>
    </row>
    <row r="29" spans="1:8" x14ac:dyDescent="0.2">
      <c r="A29" s="14">
        <v>2013</v>
      </c>
      <c r="B29" s="15">
        <v>32.18</v>
      </c>
      <c r="C29" s="15"/>
      <c r="D29" s="15">
        <v>35</v>
      </c>
      <c r="E29" s="15">
        <v>37.619999999999997</v>
      </c>
      <c r="F29" s="15"/>
      <c r="G29" s="15">
        <v>15.04</v>
      </c>
      <c r="H29" s="15">
        <v>-2.2599999999999998</v>
      </c>
    </row>
    <row r="30" spans="1:8" x14ac:dyDescent="0.2">
      <c r="A30" s="14">
        <v>2014</v>
      </c>
      <c r="B30" s="15">
        <v>13.51</v>
      </c>
      <c r="C30" s="15"/>
      <c r="D30" s="15">
        <v>13.6</v>
      </c>
      <c r="E30" s="15">
        <v>7.37</v>
      </c>
      <c r="F30" s="15"/>
      <c r="G30" s="15">
        <v>-4.24</v>
      </c>
      <c r="H30" s="15">
        <v>5.76</v>
      </c>
    </row>
    <row r="31" spans="1:8" x14ac:dyDescent="0.2">
      <c r="A31" s="14">
        <v>2015</v>
      </c>
      <c r="B31" s="15">
        <v>1.25</v>
      </c>
      <c r="C31" s="15"/>
      <c r="D31" s="15">
        <v>-1.46</v>
      </c>
      <c r="E31" s="15">
        <v>-3.78</v>
      </c>
      <c r="F31" s="15"/>
      <c r="G31" s="15">
        <v>-4.37</v>
      </c>
      <c r="H31" s="15">
        <v>0.3</v>
      </c>
    </row>
    <row r="32" spans="1:8" x14ac:dyDescent="0.2">
      <c r="A32" s="14">
        <v>2016</v>
      </c>
      <c r="B32" s="15">
        <v>11.82</v>
      </c>
      <c r="C32" s="15"/>
      <c r="D32" s="15">
        <v>11.07</v>
      </c>
      <c r="E32" s="15">
        <v>18.170000000000002</v>
      </c>
      <c r="F32" s="15"/>
      <c r="G32" s="15">
        <v>4.6500000000000004</v>
      </c>
      <c r="H32" s="15">
        <v>2.5</v>
      </c>
    </row>
    <row r="33" spans="1:25" x14ac:dyDescent="0.2">
      <c r="A33" s="14">
        <v>2017</v>
      </c>
      <c r="B33" s="15">
        <v>21.67</v>
      </c>
      <c r="C33" s="15"/>
      <c r="D33" s="15">
        <v>19.600000000000001</v>
      </c>
      <c r="E33" s="15">
        <v>16.100000000000001</v>
      </c>
      <c r="F33" s="15"/>
      <c r="G33" s="15">
        <v>27.4</v>
      </c>
      <c r="H33" s="15">
        <v>3.46</v>
      </c>
    </row>
    <row r="34" spans="1:25" x14ac:dyDescent="0.2">
      <c r="A34" s="14">
        <v>2018</v>
      </c>
      <c r="B34" s="15">
        <v>-4.5</v>
      </c>
      <c r="C34" s="15"/>
      <c r="D34" s="15">
        <v>-9.3000000000000007</v>
      </c>
      <c r="E34" s="15">
        <v>-9.4</v>
      </c>
      <c r="F34" s="15"/>
      <c r="G34" s="15">
        <v>-14.5</v>
      </c>
      <c r="H34" s="15">
        <v>-0.1</v>
      </c>
    </row>
    <row r="35" spans="1:25" x14ac:dyDescent="0.2">
      <c r="A35" s="14">
        <v>2019</v>
      </c>
      <c r="B35" s="15">
        <v>31.456</v>
      </c>
      <c r="C35" s="15"/>
      <c r="D35" s="15">
        <v>31.031600000000001</v>
      </c>
      <c r="E35" s="15">
        <v>27.3674</v>
      </c>
      <c r="F35" s="15"/>
      <c r="G35" s="15">
        <v>21.507999999999999</v>
      </c>
      <c r="H35" s="15">
        <v>8.7140000000000004</v>
      </c>
    </row>
    <row r="36" spans="1:25" x14ac:dyDescent="0.2">
      <c r="A36" s="14">
        <v>2020</v>
      </c>
      <c r="B36" s="15">
        <v>18.37</v>
      </c>
      <c r="C36" s="15"/>
      <c r="D36" s="15">
        <v>18.239999999999998</v>
      </c>
      <c r="E36" s="15">
        <v>19.11</v>
      </c>
      <c r="F36" s="15"/>
      <c r="G36" s="15">
        <v>11.28</v>
      </c>
      <c r="H36" s="15">
        <v>7.72</v>
      </c>
    </row>
    <row r="39" spans="1:25" x14ac:dyDescent="0.2">
      <c r="A39" s="20" t="s">
        <v>119</v>
      </c>
      <c r="O39" s="20" t="s">
        <v>120</v>
      </c>
    </row>
    <row r="40" spans="1:25"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P40" s="4" t="str">
        <f>B40</f>
        <v>LC Stocks</v>
      </c>
      <c r="Q40" s="4" t="str">
        <f t="shared" ref="Q40:V41" si="1">C40</f>
        <v>Ext Mkt</v>
      </c>
      <c r="R40" s="4" t="str">
        <f t="shared" si="1"/>
        <v>Mcap Stk</v>
      </c>
      <c r="S40" s="4" t="str">
        <f t="shared" si="1"/>
        <v>Small Cap</v>
      </c>
      <c r="T40" s="4" t="str">
        <f t="shared" si="1"/>
        <v>Intl Val</v>
      </c>
      <c r="U40" s="4" t="str">
        <f t="shared" si="1"/>
        <v>Tot Int Stk</v>
      </c>
      <c r="V40" s="4" t="str">
        <f t="shared" si="1"/>
        <v>Bonds</v>
      </c>
      <c r="W40" s="5"/>
      <c r="X40" s="5" t="s">
        <v>124</v>
      </c>
      <c r="Y40" s="3" t="s">
        <v>125</v>
      </c>
    </row>
    <row r="41" spans="1:25"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O41" t="s">
        <v>126</v>
      </c>
      <c r="P41" s="4" t="str">
        <f>B41</f>
        <v>VFIAX</v>
      </c>
      <c r="Q41" s="4" t="str">
        <f t="shared" si="1"/>
        <v>VEXMX</v>
      </c>
      <c r="R41" s="4" t="str">
        <f t="shared" si="1"/>
        <v>VIMAX</v>
      </c>
      <c r="S41" s="4" t="str">
        <f t="shared" si="1"/>
        <v>VSMAX</v>
      </c>
      <c r="T41" s="4" t="str">
        <f t="shared" si="1"/>
        <v>VTRIX</v>
      </c>
      <c r="U41" s="4" t="str">
        <f t="shared" si="1"/>
        <v>VTIAX</v>
      </c>
      <c r="V41" s="4" t="str">
        <f t="shared" si="1"/>
        <v>VBTLX</v>
      </c>
      <c r="W41" s="5" t="s">
        <v>67</v>
      </c>
      <c r="X41" s="5" t="s">
        <v>125</v>
      </c>
      <c r="Y41" s="3" t="s">
        <v>129</v>
      </c>
    </row>
    <row r="42" spans="1:25" x14ac:dyDescent="0.2">
      <c r="A42" t="s">
        <v>130</v>
      </c>
      <c r="B42" s="31">
        <v>20000</v>
      </c>
      <c r="C42" s="31">
        <v>25000</v>
      </c>
      <c r="F42" s="31">
        <v>15000</v>
      </c>
      <c r="H42" s="31">
        <v>40000</v>
      </c>
      <c r="I42" s="2">
        <f>SUM(B42:H42)</f>
        <v>100000</v>
      </c>
      <c r="O42" s="21" t="s">
        <v>131</v>
      </c>
      <c r="P42" s="22">
        <f>B42/$I42</f>
        <v>0.2</v>
      </c>
      <c r="Q42" s="22">
        <f>C42/$I42</f>
        <v>0.25</v>
      </c>
      <c r="R42" s="23">
        <v>0.15</v>
      </c>
      <c r="S42" s="23">
        <v>0.1</v>
      </c>
      <c r="T42" s="22">
        <f>F42/$I42</f>
        <v>0.15</v>
      </c>
      <c r="U42" s="23">
        <f>T42</f>
        <v>0.15</v>
      </c>
      <c r="V42" s="22">
        <f>H42/$I42</f>
        <v>0.4</v>
      </c>
      <c r="W42" s="6">
        <f>I42/$I42</f>
        <v>1</v>
      </c>
      <c r="X42" s="24"/>
    </row>
    <row r="43" spans="1:25" x14ac:dyDescent="0.2">
      <c r="A43">
        <f t="shared" ref="A43:A75" si="2">A4</f>
        <v>1988</v>
      </c>
      <c r="B43" s="2">
        <f t="shared" ref="B43:B53" si="3">B42*(1+(B4/100))</f>
        <v>23243.999999999996</v>
      </c>
      <c r="C43" s="2">
        <f t="shared" ref="C43:C53" si="4">C42*(1+(C4/100))</f>
        <v>29936.75</v>
      </c>
      <c r="D43" s="2"/>
      <c r="E43" s="2"/>
      <c r="F43" s="2">
        <f t="shared" ref="F43:F51" si="5">F42*(1+(F4/100))</f>
        <v>17816.7</v>
      </c>
      <c r="G43" s="2"/>
      <c r="H43" s="2">
        <f t="shared" ref="H43:H70" si="6">H42*(1+(H4/100))</f>
        <v>42939.999999999993</v>
      </c>
      <c r="I43" s="2">
        <f>SUM(B43:H43)</f>
        <v>113937.44999999998</v>
      </c>
      <c r="J43" s="2">
        <f>I43-I42</f>
        <v>13937.449999999983</v>
      </c>
      <c r="K43" s="6">
        <f>(J43/I42)</f>
        <v>0.13937449999999982</v>
      </c>
      <c r="L43" s="7">
        <f>K43+1</f>
        <v>1.1393744999999997</v>
      </c>
      <c r="O43">
        <f>A43</f>
        <v>1988</v>
      </c>
      <c r="P43" s="6">
        <f t="shared" ref="P43:U69" si="7">B43/$I43</f>
        <v>0.20400667208191864</v>
      </c>
      <c r="Q43" s="6">
        <f t="shared" si="7"/>
        <v>0.26274723543488121</v>
      </c>
      <c r="R43" s="7"/>
      <c r="S43" s="7"/>
      <c r="T43" s="6">
        <f t="shared" ref="T43:T51" si="8">F43/$I43</f>
        <v>0.15637264130450526</v>
      </c>
      <c r="U43" s="7"/>
      <c r="V43" s="6">
        <f t="shared" ref="V43:V70" si="9">H43/$I43</f>
        <v>0.37687345117869497</v>
      </c>
      <c r="W43" s="6">
        <f>SUM(P43:V43)</f>
        <v>1</v>
      </c>
      <c r="X43" s="7">
        <f>SUM(P43:U43)</f>
        <v>0.62312654882130514</v>
      </c>
      <c r="Y43" s="7">
        <f>W43-(X43+V43)</f>
        <v>0</v>
      </c>
    </row>
    <row r="44" spans="1:25" x14ac:dyDescent="0.2">
      <c r="A44">
        <f t="shared" si="2"/>
        <v>1989</v>
      </c>
      <c r="B44" s="2">
        <f t="shared" si="3"/>
        <v>30533.318399999996</v>
      </c>
      <c r="C44" s="2">
        <f t="shared" si="4"/>
        <v>37150.309280000001</v>
      </c>
      <c r="D44" s="2"/>
      <c r="E44" s="2"/>
      <c r="F44" s="2">
        <f t="shared" si="5"/>
        <v>22443.875157000002</v>
      </c>
      <c r="G44" s="2"/>
      <c r="H44" s="2">
        <f t="shared" si="6"/>
        <v>48797.015999999996</v>
      </c>
      <c r="I44" s="2">
        <f t="shared" ref="I44:I51" si="10">SUM(B44:H44)</f>
        <v>138924.51883700001</v>
      </c>
      <c r="J44" s="2">
        <f t="shared" ref="J44:J70" si="11">I44-I43</f>
        <v>24987.068837000028</v>
      </c>
      <c r="K44" s="6">
        <f t="shared" ref="K44:K51" si="12">(J44/I43)</f>
        <v>0.21930514362924597</v>
      </c>
      <c r="L44" s="7">
        <f t="shared" ref="L44:L70" si="13">K44+1</f>
        <v>1.2193051436292459</v>
      </c>
      <c r="O44">
        <f t="shared" ref="O44:O70" si="14">A44</f>
        <v>1989</v>
      </c>
      <c r="P44" s="6">
        <f t="shared" si="7"/>
        <v>0.21978351017954365</v>
      </c>
      <c r="Q44" s="6">
        <f t="shared" si="7"/>
        <v>0.26741362569402466</v>
      </c>
      <c r="R44" s="7"/>
      <c r="S44" s="7"/>
      <c r="T44" s="6">
        <f t="shared" si="8"/>
        <v>0.16155445665666388</v>
      </c>
      <c r="U44" s="7"/>
      <c r="V44" s="6">
        <f t="shared" si="9"/>
        <v>0.35124840746976771</v>
      </c>
      <c r="W44" s="6">
        <f t="shared" ref="W44:W70" si="15">SUM(P44:V44)</f>
        <v>0.99999999999999989</v>
      </c>
      <c r="X44" s="7">
        <f t="shared" ref="X44:X70" si="16">SUM(P44:U44)</f>
        <v>0.64875159253023218</v>
      </c>
      <c r="Y44" s="7">
        <f t="shared" ref="Y44:Y70" si="17">W44-(X44+V44)</f>
        <v>0</v>
      </c>
    </row>
    <row r="45" spans="1:25" x14ac:dyDescent="0.2">
      <c r="A45">
        <f t="shared" si="2"/>
        <v>1990</v>
      </c>
      <c r="B45" s="2">
        <f t="shared" si="3"/>
        <v>29519.612229119997</v>
      </c>
      <c r="C45" s="2">
        <f t="shared" si="4"/>
        <v>31932.548341624002</v>
      </c>
      <c r="D45" s="2"/>
      <c r="E45" s="2"/>
      <c r="F45" s="2">
        <f t="shared" si="5"/>
        <v>19692.2560627518</v>
      </c>
      <c r="G45" s="2"/>
      <c r="H45" s="2">
        <f t="shared" si="6"/>
        <v>53017.957883999996</v>
      </c>
      <c r="I45" s="2">
        <f t="shared" si="10"/>
        <v>134162.3745174958</v>
      </c>
      <c r="J45" s="2">
        <f t="shared" si="11"/>
        <v>-4762.1443195042084</v>
      </c>
      <c r="K45" s="6">
        <f t="shared" si="12"/>
        <v>-3.4278645406658759E-2</v>
      </c>
      <c r="L45" s="7">
        <f t="shared" si="13"/>
        <v>0.96572135459334119</v>
      </c>
      <c r="O45">
        <f t="shared" si="14"/>
        <v>1990</v>
      </c>
      <c r="P45" s="6">
        <f t="shared" si="7"/>
        <v>0.22002899348856123</v>
      </c>
      <c r="Q45" s="6">
        <f t="shared" si="7"/>
        <v>0.23801418584358577</v>
      </c>
      <c r="R45" s="7"/>
      <c r="S45" s="7"/>
      <c r="T45" s="6">
        <f t="shared" si="8"/>
        <v>0.1467792749910205</v>
      </c>
      <c r="U45" s="7"/>
      <c r="V45" s="6">
        <f t="shared" si="9"/>
        <v>0.39517754567683244</v>
      </c>
      <c r="W45" s="6">
        <f t="shared" si="15"/>
        <v>1</v>
      </c>
      <c r="X45" s="7">
        <f t="shared" si="16"/>
        <v>0.6048224543231675</v>
      </c>
      <c r="Y45" s="7">
        <f t="shared" si="17"/>
        <v>0</v>
      </c>
    </row>
    <row r="46" spans="1:25" x14ac:dyDescent="0.2">
      <c r="A46">
        <f t="shared" si="2"/>
        <v>1991</v>
      </c>
      <c r="B46" s="2">
        <f t="shared" si="3"/>
        <v>38440.43904476006</v>
      </c>
      <c r="C46" s="2">
        <f t="shared" si="4"/>
        <v>45296.31982259365</v>
      </c>
      <c r="D46" s="2"/>
      <c r="E46" s="2"/>
      <c r="F46" s="2">
        <f t="shared" si="5"/>
        <v>21652.81707635937</v>
      </c>
      <c r="G46" s="2"/>
      <c r="H46" s="2">
        <f t="shared" si="6"/>
        <v>61103.196461309999</v>
      </c>
      <c r="I46" s="2">
        <f t="shared" si="10"/>
        <v>166492.77240502308</v>
      </c>
      <c r="J46" s="2">
        <f t="shared" si="11"/>
        <v>32330.397887527273</v>
      </c>
      <c r="K46" s="6">
        <f t="shared" si="12"/>
        <v>0.24097961894160677</v>
      </c>
      <c r="L46" s="7">
        <f t="shared" si="13"/>
        <v>1.2409796189416067</v>
      </c>
      <c r="O46">
        <f t="shared" si="14"/>
        <v>1991</v>
      </c>
      <c r="P46" s="6">
        <f t="shared" si="7"/>
        <v>0.2308835301946135</v>
      </c>
      <c r="Q46" s="6">
        <f t="shared" si="7"/>
        <v>0.27206177882846683</v>
      </c>
      <c r="R46" s="7"/>
      <c r="S46" s="7"/>
      <c r="T46" s="6">
        <f t="shared" si="8"/>
        <v>0.1300525948579021</v>
      </c>
      <c r="U46" s="7"/>
      <c r="V46" s="6">
        <f t="shared" si="9"/>
        <v>0.36700209611901757</v>
      </c>
      <c r="W46" s="6">
        <f t="shared" si="15"/>
        <v>1</v>
      </c>
      <c r="X46" s="7">
        <f t="shared" si="16"/>
        <v>0.63299790388098243</v>
      </c>
      <c r="Y46" s="7">
        <f t="shared" si="17"/>
        <v>0</v>
      </c>
    </row>
    <row r="47" spans="1:25" x14ac:dyDescent="0.2">
      <c r="A47">
        <f t="shared" si="2"/>
        <v>1992</v>
      </c>
      <c r="B47" s="2">
        <f t="shared" si="3"/>
        <v>41292.719621881261</v>
      </c>
      <c r="C47" s="2">
        <f t="shared" si="4"/>
        <v>50942.959051678175</v>
      </c>
      <c r="D47" s="2"/>
      <c r="E47" s="2"/>
      <c r="F47" s="2">
        <f t="shared" si="5"/>
        <v>19764.474899130069</v>
      </c>
      <c r="G47" s="2"/>
      <c r="H47" s="2">
        <f t="shared" si="6"/>
        <v>65465.964688647524</v>
      </c>
      <c r="I47" s="2">
        <f t="shared" si="10"/>
        <v>177466.11826133705</v>
      </c>
      <c r="J47" s="2">
        <f t="shared" si="11"/>
        <v>10973.345856313972</v>
      </c>
      <c r="K47" s="6">
        <f t="shared" si="12"/>
        <v>6.5908842154537323E-2</v>
      </c>
      <c r="L47" s="7">
        <f t="shared" si="13"/>
        <v>1.0659088421545373</v>
      </c>
      <c r="O47">
        <f t="shared" si="14"/>
        <v>1992</v>
      </c>
      <c r="P47" s="6">
        <f t="shared" si="7"/>
        <v>0.23267945468370194</v>
      </c>
      <c r="Q47" s="6">
        <f t="shared" si="7"/>
        <v>0.28705738059058378</v>
      </c>
      <c r="R47" s="7"/>
      <c r="S47" s="7"/>
      <c r="T47" s="6">
        <f t="shared" si="8"/>
        <v>0.1113704130837237</v>
      </c>
      <c r="U47" s="7"/>
      <c r="V47" s="6">
        <f t="shared" si="9"/>
        <v>0.36889275164199054</v>
      </c>
      <c r="W47" s="6">
        <f t="shared" si="15"/>
        <v>0.99999999999999989</v>
      </c>
      <c r="X47" s="7">
        <f t="shared" si="16"/>
        <v>0.63110724835800935</v>
      </c>
      <c r="Y47" s="7">
        <f t="shared" si="17"/>
        <v>0</v>
      </c>
    </row>
    <row r="48" spans="1:25" x14ac:dyDescent="0.2">
      <c r="A48">
        <f t="shared" si="2"/>
        <v>1993</v>
      </c>
      <c r="B48" s="2">
        <f t="shared" si="3"/>
        <v>45376.569592485313</v>
      </c>
      <c r="C48" s="2">
        <f t="shared" si="4"/>
        <v>58324.593818266345</v>
      </c>
      <c r="D48" s="2"/>
      <c r="E48" s="2"/>
      <c r="F48" s="2">
        <f t="shared" si="5"/>
        <v>25791.453874870793</v>
      </c>
      <c r="G48" s="2"/>
      <c r="H48" s="2">
        <f t="shared" si="6"/>
        <v>71803.070070508606</v>
      </c>
      <c r="I48" s="2">
        <f t="shared" si="10"/>
        <v>201295.68735613106</v>
      </c>
      <c r="J48" s="2">
        <f t="shared" si="11"/>
        <v>23829.569094794017</v>
      </c>
      <c r="K48" s="6">
        <f t="shared" si="12"/>
        <v>0.13427672464048904</v>
      </c>
      <c r="L48" s="7">
        <f t="shared" si="13"/>
        <v>1.134276724640489</v>
      </c>
      <c r="O48">
        <f t="shared" si="14"/>
        <v>1993</v>
      </c>
      <c r="P48" s="6">
        <f t="shared" si="7"/>
        <v>0.22542246278831285</v>
      </c>
      <c r="Q48" s="6">
        <f t="shared" si="7"/>
        <v>0.28974586879786868</v>
      </c>
      <c r="R48" s="7"/>
      <c r="S48" s="7"/>
      <c r="T48" s="6">
        <f t="shared" si="8"/>
        <v>0.12812720537445352</v>
      </c>
      <c r="U48" s="7"/>
      <c r="V48" s="6">
        <f t="shared" si="9"/>
        <v>0.35670446303936493</v>
      </c>
      <c r="W48" s="6">
        <f t="shared" si="15"/>
        <v>1</v>
      </c>
      <c r="X48" s="7">
        <f t="shared" si="16"/>
        <v>0.64329553696063502</v>
      </c>
      <c r="Y48" s="7">
        <f t="shared" si="17"/>
        <v>0</v>
      </c>
    </row>
    <row r="49" spans="1:25" x14ac:dyDescent="0.2">
      <c r="A49">
        <f t="shared" si="2"/>
        <v>1994</v>
      </c>
      <c r="B49" s="2">
        <f t="shared" si="3"/>
        <v>45912.013113676643</v>
      </c>
      <c r="C49" s="2">
        <f t="shared" si="4"/>
        <v>57295.747983312125</v>
      </c>
      <c r="D49" s="2"/>
      <c r="E49" s="2"/>
      <c r="F49" s="2">
        <f t="shared" si="5"/>
        <v>27146.794775995255</v>
      </c>
      <c r="G49" s="2"/>
      <c r="H49" s="2">
        <f t="shared" si="6"/>
        <v>69893.10840663308</v>
      </c>
      <c r="I49" s="2">
        <f t="shared" si="10"/>
        <v>200247.66427961711</v>
      </c>
      <c r="J49" s="2">
        <f t="shared" si="11"/>
        <v>-1048.0230765139568</v>
      </c>
      <c r="K49" s="6">
        <f t="shared" si="12"/>
        <v>-5.2063861391118673E-3</v>
      </c>
      <c r="L49" s="7">
        <f t="shared" si="13"/>
        <v>0.99479361386088816</v>
      </c>
      <c r="O49">
        <f t="shared" si="14"/>
        <v>1994</v>
      </c>
      <c r="P49" s="6">
        <f t="shared" si="7"/>
        <v>0.22927614800823398</v>
      </c>
      <c r="Q49" s="6">
        <f t="shared" si="7"/>
        <v>0.28612442591743215</v>
      </c>
      <c r="R49" s="7"/>
      <c r="S49" s="7"/>
      <c r="T49" s="6">
        <f t="shared" si="8"/>
        <v>0.1355660994781375</v>
      </c>
      <c r="U49" s="7"/>
      <c r="V49" s="6">
        <f t="shared" si="9"/>
        <v>0.34903332659619635</v>
      </c>
      <c r="W49" s="6">
        <f t="shared" si="15"/>
        <v>1</v>
      </c>
      <c r="X49" s="7">
        <f t="shared" si="16"/>
        <v>0.65096667340380365</v>
      </c>
      <c r="Y49" s="7">
        <f t="shared" si="17"/>
        <v>0</v>
      </c>
    </row>
    <row r="50" spans="1:25" x14ac:dyDescent="0.2">
      <c r="A50">
        <f t="shared" si="2"/>
        <v>1995</v>
      </c>
      <c r="B50" s="2">
        <f t="shared" si="3"/>
        <v>63106.062024748549</v>
      </c>
      <c r="C50" s="2">
        <f t="shared" si="4"/>
        <v>76659.991929232114</v>
      </c>
      <c r="D50" s="2"/>
      <c r="E50" s="2"/>
      <c r="F50" s="2">
        <f t="shared" si="5"/>
        <v>29765.374600087758</v>
      </c>
      <c r="G50" s="2"/>
      <c r="H50" s="2">
        <f t="shared" si="6"/>
        <v>82599.675514958974</v>
      </c>
      <c r="I50" s="2">
        <f t="shared" si="10"/>
        <v>252131.10406902741</v>
      </c>
      <c r="J50" s="2">
        <f t="shared" si="11"/>
        <v>51883.439789410302</v>
      </c>
      <c r="K50" s="6">
        <f t="shared" si="12"/>
        <v>0.25909635438724782</v>
      </c>
      <c r="L50" s="7">
        <f t="shared" si="13"/>
        <v>1.2590963543872478</v>
      </c>
      <c r="O50">
        <f t="shared" si="14"/>
        <v>1995</v>
      </c>
      <c r="P50" s="6">
        <f t="shared" si="7"/>
        <v>0.25029066626968655</v>
      </c>
      <c r="Q50" s="6">
        <f t="shared" si="7"/>
        <v>0.30404813484751353</v>
      </c>
      <c r="R50" s="7"/>
      <c r="S50" s="7"/>
      <c r="T50" s="6">
        <f t="shared" si="8"/>
        <v>0.1180551471822323</v>
      </c>
      <c r="U50" s="7"/>
      <c r="V50" s="6">
        <f t="shared" si="9"/>
        <v>0.32760605170056756</v>
      </c>
      <c r="W50" s="6">
        <f t="shared" si="15"/>
        <v>1</v>
      </c>
      <c r="X50" s="7">
        <f t="shared" si="16"/>
        <v>0.67239394829943244</v>
      </c>
      <c r="Y50" s="7">
        <f t="shared" si="17"/>
        <v>0</v>
      </c>
    </row>
    <row r="51" spans="1:25" x14ac:dyDescent="0.2">
      <c r="A51">
        <f t="shared" si="2"/>
        <v>1996</v>
      </c>
      <c r="B51" s="2">
        <f t="shared" si="3"/>
        <v>77544.729016011028</v>
      </c>
      <c r="C51" s="2">
        <f t="shared" si="4"/>
        <v>90188.180704983693</v>
      </c>
      <c r="D51" s="2"/>
      <c r="E51" s="2"/>
      <c r="F51" s="2">
        <f t="shared" si="5"/>
        <v>32807.098230470729</v>
      </c>
      <c r="G51" s="2"/>
      <c r="H51" s="2">
        <f t="shared" si="6"/>
        <v>85556.743898394503</v>
      </c>
      <c r="I51" s="2">
        <f t="shared" si="10"/>
        <v>286096.75184985995</v>
      </c>
      <c r="J51" s="2">
        <f t="shared" si="11"/>
        <v>33965.647780832544</v>
      </c>
      <c r="K51" s="6">
        <f t="shared" si="12"/>
        <v>0.13471423094047758</v>
      </c>
      <c r="L51" s="7">
        <f t="shared" si="13"/>
        <v>1.1347142309404776</v>
      </c>
      <c r="O51">
        <f t="shared" si="14"/>
        <v>1996</v>
      </c>
      <c r="P51" s="6">
        <f t="shared" si="7"/>
        <v>0.27104372389626269</v>
      </c>
      <c r="Q51" s="6">
        <f t="shared" si="7"/>
        <v>0.31523664677015745</v>
      </c>
      <c r="R51" s="7"/>
      <c r="S51" s="7"/>
      <c r="T51" s="6">
        <f t="shared" si="8"/>
        <v>0.11467134114017306</v>
      </c>
      <c r="U51" s="6"/>
      <c r="V51" s="6">
        <f t="shared" si="9"/>
        <v>0.29904828819340679</v>
      </c>
      <c r="W51" s="6">
        <f t="shared" si="15"/>
        <v>1</v>
      </c>
      <c r="X51" s="7">
        <f t="shared" si="16"/>
        <v>0.70095171180659321</v>
      </c>
      <c r="Y51" s="7">
        <f t="shared" si="17"/>
        <v>0</v>
      </c>
    </row>
    <row r="52" spans="1:25" x14ac:dyDescent="0.2">
      <c r="A52">
        <f t="shared" si="2"/>
        <v>1997</v>
      </c>
      <c r="B52" s="2">
        <f t="shared" si="3"/>
        <v>103281.82457642509</v>
      </c>
      <c r="C52" s="2">
        <f t="shared" si="4"/>
        <v>114256.70048972269</v>
      </c>
      <c r="D52" s="2"/>
      <c r="E52" s="2"/>
      <c r="F52" s="2"/>
      <c r="G52" s="2">
        <f>F51*(1+(G13/100))</f>
        <v>32552.843219184579</v>
      </c>
      <c r="H52" s="2">
        <f t="shared" si="6"/>
        <v>93633.300522402948</v>
      </c>
      <c r="I52" s="2">
        <f t="shared" ref="I52:I69" si="18">SUM(B52:H52)</f>
        <v>343724.66880773532</v>
      </c>
      <c r="J52" s="2">
        <f t="shared" si="11"/>
        <v>57627.916957875364</v>
      </c>
      <c r="K52" s="6">
        <f t="shared" ref="K52:K67" si="19">(J52/I51)</f>
        <v>0.20142807139634281</v>
      </c>
      <c r="L52" s="7">
        <f t="shared" si="13"/>
        <v>1.2014280713963428</v>
      </c>
      <c r="O52">
        <f t="shared" si="14"/>
        <v>1997</v>
      </c>
      <c r="P52" s="6">
        <f t="shared" si="7"/>
        <v>0.3004783594226007</v>
      </c>
      <c r="Q52" s="6">
        <f t="shared" si="7"/>
        <v>0.33240762406155067</v>
      </c>
      <c r="R52" s="7"/>
      <c r="S52" s="7"/>
      <c r="T52" s="6"/>
      <c r="U52" s="6">
        <f t="shared" si="7"/>
        <v>9.4706159241055896E-2</v>
      </c>
      <c r="V52" s="6">
        <f t="shared" si="9"/>
        <v>0.27240785727479266</v>
      </c>
      <c r="W52" s="6">
        <f t="shared" si="15"/>
        <v>0.99999999999999989</v>
      </c>
      <c r="X52" s="7">
        <f t="shared" si="16"/>
        <v>0.72759214272520722</v>
      </c>
      <c r="Y52" s="7">
        <f t="shared" si="17"/>
        <v>0</v>
      </c>
    </row>
    <row r="53" spans="1:25" x14ac:dyDescent="0.2">
      <c r="A53">
        <f t="shared" si="2"/>
        <v>1998</v>
      </c>
      <c r="B53" s="2">
        <f t="shared" si="3"/>
        <v>132882.39550002851</v>
      </c>
      <c r="C53" s="2">
        <f t="shared" si="4"/>
        <v>123800.56268162924</v>
      </c>
      <c r="D53" s="2"/>
      <c r="E53" s="2"/>
      <c r="F53" s="2"/>
      <c r="G53" s="2">
        <f t="shared" ref="G53:G70" si="20">G52*(1+(G14/100))</f>
        <v>37632.063346673945</v>
      </c>
      <c r="H53" s="2">
        <f t="shared" si="6"/>
        <v>101667.03770722513</v>
      </c>
      <c r="I53" s="2">
        <f t="shared" si="18"/>
        <v>395982.05923555681</v>
      </c>
      <c r="J53" s="2">
        <f t="shared" si="11"/>
        <v>52257.39042782149</v>
      </c>
      <c r="K53" s="6">
        <f t="shared" si="19"/>
        <v>0.1520327028289378</v>
      </c>
      <c r="L53" s="7">
        <f t="shared" si="13"/>
        <v>1.1520327028289379</v>
      </c>
      <c r="O53">
        <f t="shared" si="14"/>
        <v>1998</v>
      </c>
      <c r="P53" s="6">
        <f t="shared" si="7"/>
        <v>0.33557680809215928</v>
      </c>
      <c r="Q53" s="6">
        <f t="shared" si="7"/>
        <v>0.31264184776609871</v>
      </c>
      <c r="R53" s="7"/>
      <c r="S53" s="7"/>
      <c r="T53" s="7"/>
      <c r="U53" s="6">
        <f t="shared" si="7"/>
        <v>9.5034768543106801E-2</v>
      </c>
      <c r="V53" s="6">
        <f t="shared" si="9"/>
        <v>0.25674657559863523</v>
      </c>
      <c r="W53" s="6">
        <f t="shared" si="15"/>
        <v>1</v>
      </c>
      <c r="X53" s="7">
        <f t="shared" si="16"/>
        <v>0.74325342440136477</v>
      </c>
      <c r="Y53" s="7">
        <f t="shared" si="17"/>
        <v>0</v>
      </c>
    </row>
    <row r="54" spans="1:25" x14ac:dyDescent="0.2">
      <c r="A54">
        <f t="shared" si="2"/>
        <v>1999</v>
      </c>
      <c r="B54" s="2">
        <f t="shared" ref="B54:B75" si="21">B53*(1+(B15/100))</f>
        <v>160880.71623188452</v>
      </c>
      <c r="C54" s="2"/>
      <c r="D54" s="2">
        <f>($C53*0.6)*(1+(D15/100))</f>
        <v>85659.342527296802</v>
      </c>
      <c r="E54" s="2">
        <f>($C53*0.4)*(1+(E15/100))</f>
        <v>60975.738738708213</v>
      </c>
      <c r="F54" s="2"/>
      <c r="G54" s="2">
        <f t="shared" si="20"/>
        <v>48891.200379365328</v>
      </c>
      <c r="H54" s="2">
        <f t="shared" si="6"/>
        <v>100894.36822065021</v>
      </c>
      <c r="I54" s="2">
        <f t="shared" si="18"/>
        <v>457301.36609790509</v>
      </c>
      <c r="J54" s="2">
        <f t="shared" si="11"/>
        <v>61319.306862348283</v>
      </c>
      <c r="K54" s="6">
        <f t="shared" si="19"/>
        <v>0.15485375014394637</v>
      </c>
      <c r="L54" s="7">
        <f t="shared" si="13"/>
        <v>1.1548537501439464</v>
      </c>
      <c r="O54">
        <f t="shared" si="14"/>
        <v>1999</v>
      </c>
      <c r="P54" s="6">
        <f t="shared" si="7"/>
        <v>0.35180458262055808</v>
      </c>
      <c r="Q54" s="7"/>
      <c r="R54" s="6">
        <f t="shared" si="7"/>
        <v>0.1873148625341253</v>
      </c>
      <c r="S54" s="6">
        <f t="shared" si="7"/>
        <v>0.13333819502663311</v>
      </c>
      <c r="T54" s="7"/>
      <c r="U54" s="6">
        <f t="shared" si="7"/>
        <v>0.10691243019138075</v>
      </c>
      <c r="V54" s="6">
        <f t="shared" si="9"/>
        <v>0.22062992962730274</v>
      </c>
      <c r="W54" s="6">
        <f t="shared" si="15"/>
        <v>1</v>
      </c>
      <c r="X54" s="7">
        <f t="shared" si="16"/>
        <v>0.77937007037269723</v>
      </c>
      <c r="Y54" s="7">
        <f t="shared" si="17"/>
        <v>0</v>
      </c>
    </row>
    <row r="55" spans="1:25" x14ac:dyDescent="0.2">
      <c r="A55">
        <f t="shared" si="2"/>
        <v>2000</v>
      </c>
      <c r="B55" s="2">
        <f t="shared" si="21"/>
        <v>146304.92334127577</v>
      </c>
      <c r="C55" s="2"/>
      <c r="D55" s="2">
        <f t="shared" ref="D55:D70" si="22">D54*(1+(D16/100))</f>
        <v>101161.97033788697</v>
      </c>
      <c r="E55" s="2">
        <f t="shared" ref="E55:E70" si="23">E54*(1+(E16/100))</f>
        <v>59350.735301321642</v>
      </c>
      <c r="F55" s="2"/>
      <c r="G55" s="2">
        <f t="shared" si="20"/>
        <v>41257.328352131226</v>
      </c>
      <c r="H55" s="2">
        <f t="shared" si="6"/>
        <v>112386.23676098228</v>
      </c>
      <c r="I55" s="2">
        <f t="shared" si="18"/>
        <v>460461.19409359794</v>
      </c>
      <c r="J55" s="2">
        <f t="shared" si="11"/>
        <v>3159.8279956928454</v>
      </c>
      <c r="K55" s="6">
        <f t="shared" si="19"/>
        <v>6.9097278730113126E-3</v>
      </c>
      <c r="L55" s="7">
        <f t="shared" si="13"/>
        <v>1.0069097278730113</v>
      </c>
      <c r="O55">
        <f t="shared" si="14"/>
        <v>2000</v>
      </c>
      <c r="P55" s="6">
        <f t="shared" si="7"/>
        <v>0.31773562076012074</v>
      </c>
      <c r="Q55" s="7"/>
      <c r="R55" s="6">
        <f t="shared" si="7"/>
        <v>0.21969705946018067</v>
      </c>
      <c r="S55" s="6">
        <f t="shared" si="7"/>
        <v>0.12889410891215605</v>
      </c>
      <c r="T55" s="7"/>
      <c r="U55" s="6">
        <f t="shared" si="7"/>
        <v>8.9600011643423849E-2</v>
      </c>
      <c r="V55" s="6">
        <f t="shared" si="9"/>
        <v>0.24407319922411863</v>
      </c>
      <c r="W55" s="6">
        <f t="shared" si="15"/>
        <v>0.99999999999999989</v>
      </c>
      <c r="X55" s="7">
        <f t="shared" si="16"/>
        <v>0.75592680077588126</v>
      </c>
      <c r="Y55" s="7">
        <f t="shared" si="17"/>
        <v>0</v>
      </c>
    </row>
    <row r="56" spans="1:25" x14ac:dyDescent="0.2">
      <c r="A56">
        <f t="shared" si="2"/>
        <v>2001</v>
      </c>
      <c r="B56" s="2">
        <f t="shared" si="21"/>
        <v>128719.07155565443</v>
      </c>
      <c r="C56" s="2"/>
      <c r="D56" s="2">
        <f t="shared" si="22"/>
        <v>100657.17210590091</v>
      </c>
      <c r="E56" s="2">
        <f t="shared" si="23"/>
        <v>61190.60809566261</v>
      </c>
      <c r="F56" s="2"/>
      <c r="G56" s="2">
        <f t="shared" si="20"/>
        <v>32942.738969326223</v>
      </c>
      <c r="H56" s="2">
        <f t="shared" si="6"/>
        <v>121860.3965199331</v>
      </c>
      <c r="I56" s="2">
        <f t="shared" si="18"/>
        <v>445369.98724647728</v>
      </c>
      <c r="J56" s="2">
        <f t="shared" si="11"/>
        <v>-15091.206847120658</v>
      </c>
      <c r="K56" s="6">
        <f t="shared" si="19"/>
        <v>-3.2774112217702038E-2</v>
      </c>
      <c r="L56" s="7">
        <f t="shared" si="13"/>
        <v>0.96722588778229801</v>
      </c>
      <c r="O56">
        <f t="shared" si="14"/>
        <v>2001</v>
      </c>
      <c r="P56" s="6">
        <f t="shared" si="7"/>
        <v>0.28901604338331521</v>
      </c>
      <c r="Q56" s="7"/>
      <c r="R56" s="6">
        <f t="shared" si="7"/>
        <v>0.22600798210094719</v>
      </c>
      <c r="S56" s="6">
        <f t="shared" si="7"/>
        <v>0.13739275175226034</v>
      </c>
      <c r="T56" s="7"/>
      <c r="U56" s="6">
        <f t="shared" si="7"/>
        <v>7.39671282589031E-2</v>
      </c>
      <c r="V56" s="6">
        <f t="shared" si="9"/>
        <v>0.27361609450457414</v>
      </c>
      <c r="W56" s="6">
        <f t="shared" si="15"/>
        <v>1</v>
      </c>
      <c r="X56" s="7">
        <f t="shared" si="16"/>
        <v>0.72638390549542586</v>
      </c>
      <c r="Y56" s="7">
        <f t="shared" si="17"/>
        <v>0</v>
      </c>
    </row>
    <row r="57" spans="1:25" x14ac:dyDescent="0.2">
      <c r="A57">
        <f t="shared" si="2"/>
        <v>2002</v>
      </c>
      <c r="B57" s="2">
        <f t="shared" si="21"/>
        <v>100207.79720607697</v>
      </c>
      <c r="C57" s="2"/>
      <c r="D57" s="2">
        <f t="shared" si="22"/>
        <v>85953.172404670913</v>
      </c>
      <c r="E57" s="2">
        <f t="shared" si="23"/>
        <v>48939.024542749044</v>
      </c>
      <c r="F57" s="2"/>
      <c r="G57" s="2">
        <f t="shared" si="20"/>
        <v>27973.985650582748</v>
      </c>
      <c r="H57" s="2">
        <f t="shared" si="6"/>
        <v>131926.06527247958</v>
      </c>
      <c r="I57" s="2">
        <f t="shared" si="18"/>
        <v>395000.0450765593</v>
      </c>
      <c r="J57" s="2">
        <f t="shared" si="11"/>
        <v>-50369.94216991798</v>
      </c>
      <c r="K57" s="6">
        <f t="shared" si="19"/>
        <v>-0.11309684893976067</v>
      </c>
      <c r="L57" s="7">
        <f t="shared" si="13"/>
        <v>0.88690315106023931</v>
      </c>
      <c r="O57">
        <f t="shared" si="14"/>
        <v>2002</v>
      </c>
      <c r="P57" s="6">
        <f t="shared" si="7"/>
        <v>0.25369059688753859</v>
      </c>
      <c r="Q57" s="7"/>
      <c r="R57" s="6">
        <f t="shared" si="7"/>
        <v>0.21760294328070617</v>
      </c>
      <c r="S57" s="6">
        <f t="shared" si="7"/>
        <v>0.12389625052641104</v>
      </c>
      <c r="T57" s="7"/>
      <c r="U57" s="6">
        <f t="shared" si="7"/>
        <v>7.0820208755066852E-2</v>
      </c>
      <c r="V57" s="6">
        <f t="shared" si="9"/>
        <v>0.33399000055027728</v>
      </c>
      <c r="W57" s="6">
        <f t="shared" si="15"/>
        <v>1</v>
      </c>
      <c r="X57" s="7">
        <f t="shared" si="16"/>
        <v>0.66600999944972272</v>
      </c>
      <c r="Y57" s="7">
        <f t="shared" si="17"/>
        <v>0</v>
      </c>
    </row>
    <row r="58" spans="1:25" x14ac:dyDescent="0.2">
      <c r="A58">
        <f t="shared" si="2"/>
        <v>2003</v>
      </c>
      <c r="B58" s="2">
        <f t="shared" si="21"/>
        <v>128767.0194098089</v>
      </c>
      <c r="C58" s="2"/>
      <c r="D58" s="2">
        <f t="shared" si="22"/>
        <v>115299.30452707366</v>
      </c>
      <c r="E58" s="2">
        <f t="shared" si="23"/>
        <v>71268.922661114586</v>
      </c>
      <c r="F58" s="2"/>
      <c r="G58" s="2">
        <f t="shared" si="20"/>
        <v>39258.691462027826</v>
      </c>
      <c r="H58" s="2">
        <f t="shared" si="6"/>
        <v>137163.53006379702</v>
      </c>
      <c r="I58" s="2">
        <f t="shared" si="18"/>
        <v>491757.46812382201</v>
      </c>
      <c r="J58" s="2">
        <f t="shared" si="11"/>
        <v>96757.42304726271</v>
      </c>
      <c r="K58" s="6">
        <f t="shared" si="19"/>
        <v>0.24495547343167795</v>
      </c>
      <c r="L58" s="7">
        <f t="shared" si="13"/>
        <v>1.2449554734316779</v>
      </c>
      <c r="O58">
        <f t="shared" si="14"/>
        <v>2003</v>
      </c>
      <c r="P58" s="6">
        <f t="shared" si="7"/>
        <v>0.26185066370438126</v>
      </c>
      <c r="Q58" s="7"/>
      <c r="R58" s="6">
        <f t="shared" si="7"/>
        <v>0.23446375907003386</v>
      </c>
      <c r="S58" s="6">
        <f t="shared" si="7"/>
        <v>0.14492697575701979</v>
      </c>
      <c r="T58" s="7"/>
      <c r="U58" s="6">
        <f t="shared" si="7"/>
        <v>7.9833442310107819E-2</v>
      </c>
      <c r="V58" s="6">
        <f t="shared" si="9"/>
        <v>0.27892515915845723</v>
      </c>
      <c r="W58" s="6">
        <f t="shared" si="15"/>
        <v>1</v>
      </c>
      <c r="X58" s="7">
        <f t="shared" si="16"/>
        <v>0.72107484084154272</v>
      </c>
      <c r="Y58" s="7">
        <f t="shared" si="17"/>
        <v>0</v>
      </c>
    </row>
    <row r="59" spans="1:25" x14ac:dyDescent="0.2">
      <c r="A59">
        <f t="shared" si="2"/>
        <v>2004</v>
      </c>
      <c r="B59" s="2">
        <f t="shared" si="21"/>
        <v>142596.59729442236</v>
      </c>
      <c r="C59" s="2"/>
      <c r="D59" s="2">
        <f t="shared" si="22"/>
        <v>138766.17197746897</v>
      </c>
      <c r="E59" s="2">
        <f t="shared" si="23"/>
        <v>85449.300202996557</v>
      </c>
      <c r="F59" s="2"/>
      <c r="G59" s="2">
        <f t="shared" si="20"/>
        <v>47439.025001970564</v>
      </c>
      <c r="H59" s="2">
        <f t="shared" si="6"/>
        <v>142979.26373850202</v>
      </c>
      <c r="I59" s="2">
        <f t="shared" si="18"/>
        <v>557230.35821536055</v>
      </c>
      <c r="J59" s="2">
        <f>I59-I58</f>
        <v>65472.890091538546</v>
      </c>
      <c r="K59" s="6">
        <f>(J59/I58)</f>
        <v>0.13314061165422467</v>
      </c>
      <c r="L59" s="7">
        <f t="shared" si="13"/>
        <v>1.1331406116542246</v>
      </c>
      <c r="O59">
        <f t="shared" si="14"/>
        <v>2004</v>
      </c>
      <c r="P59" s="6">
        <f t="shared" si="7"/>
        <v>0.25590242023265908</v>
      </c>
      <c r="Q59" s="7"/>
      <c r="R59" s="6">
        <f t="shared" si="7"/>
        <v>0.2490283774593596</v>
      </c>
      <c r="S59" s="6">
        <f t="shared" si="7"/>
        <v>0.15334645527329971</v>
      </c>
      <c r="T59" s="7"/>
      <c r="U59" s="6">
        <f t="shared" si="7"/>
        <v>8.5133597447747358E-2</v>
      </c>
      <c r="V59" s="6">
        <f t="shared" si="9"/>
        <v>0.25658914958693407</v>
      </c>
      <c r="W59" s="6">
        <f t="shared" si="15"/>
        <v>0.99999999999999978</v>
      </c>
      <c r="X59" s="7">
        <f t="shared" si="16"/>
        <v>0.74341085041306576</v>
      </c>
      <c r="Y59" s="7">
        <f t="shared" si="17"/>
        <v>0</v>
      </c>
    </row>
    <row r="60" spans="1:25" x14ac:dyDescent="0.2">
      <c r="A60">
        <f t="shared" si="2"/>
        <v>2005</v>
      </c>
      <c r="B60" s="2">
        <f t="shared" si="21"/>
        <v>149398.45498536632</v>
      </c>
      <c r="C60" s="2"/>
      <c r="D60" s="2">
        <f t="shared" si="22"/>
        <v>158097.68739565017</v>
      </c>
      <c r="E60" s="2">
        <f t="shared" si="23"/>
        <v>91740.932176943199</v>
      </c>
      <c r="F60" s="2"/>
      <c r="G60" s="2">
        <f t="shared" si="20"/>
        <v>54825.7555850274</v>
      </c>
      <c r="H60" s="2">
        <f t="shared" si="6"/>
        <v>146410.76606822608</v>
      </c>
      <c r="I60" s="2">
        <f t="shared" si="18"/>
        <v>600473.59621121315</v>
      </c>
      <c r="J60" s="2">
        <f t="shared" si="11"/>
        <v>43243.2379958526</v>
      </c>
      <c r="K60" s="6">
        <f t="shared" si="19"/>
        <v>7.7603880259409314E-2</v>
      </c>
      <c r="L60" s="7">
        <f t="shared" si="13"/>
        <v>1.0776038802594092</v>
      </c>
      <c r="O60">
        <f t="shared" si="14"/>
        <v>2005</v>
      </c>
      <c r="P60" s="6">
        <f t="shared" si="7"/>
        <v>0.24880103959278213</v>
      </c>
      <c r="Q60" s="7"/>
      <c r="R60" s="6">
        <f t="shared" si="7"/>
        <v>0.26328832507073335</v>
      </c>
      <c r="S60" s="6">
        <f t="shared" si="7"/>
        <v>0.15278095948897286</v>
      </c>
      <c r="T60" s="7"/>
      <c r="U60" s="6">
        <f t="shared" si="7"/>
        <v>9.1304190443942113E-2</v>
      </c>
      <c r="V60" s="6">
        <f t="shared" si="9"/>
        <v>0.24382548540356958</v>
      </c>
      <c r="W60" s="6">
        <f t="shared" si="15"/>
        <v>1</v>
      </c>
      <c r="X60" s="7">
        <f t="shared" si="16"/>
        <v>0.75617451459643048</v>
      </c>
      <c r="Y60" s="7">
        <f t="shared" si="17"/>
        <v>0</v>
      </c>
    </row>
    <row r="61" spans="1:25" x14ac:dyDescent="0.2">
      <c r="A61">
        <f t="shared" si="2"/>
        <v>2006</v>
      </c>
      <c r="B61" s="2">
        <f t="shared" si="21"/>
        <v>172764.37334507762</v>
      </c>
      <c r="C61" s="2"/>
      <c r="D61" s="2">
        <f t="shared" si="22"/>
        <v>179594.22995083671</v>
      </c>
      <c r="E61" s="2">
        <f t="shared" si="23"/>
        <v>106103.89251856542</v>
      </c>
      <c r="F61" s="2"/>
      <c r="G61" s="2">
        <f t="shared" si="20"/>
        <v>69429.692100211148</v>
      </c>
      <c r="H61" s="2">
        <f t="shared" si="6"/>
        <v>152662.50577933932</v>
      </c>
      <c r="I61" s="2">
        <f t="shared" si="18"/>
        <v>680554.69369403028</v>
      </c>
      <c r="J61" s="2">
        <f t="shared" si="11"/>
        <v>80081.097482817131</v>
      </c>
      <c r="K61" s="6">
        <f t="shared" si="19"/>
        <v>0.1333632286050577</v>
      </c>
      <c r="L61" s="7">
        <f t="shared" si="13"/>
        <v>1.1333632286050577</v>
      </c>
      <c r="O61">
        <f t="shared" si="14"/>
        <v>2006</v>
      </c>
      <c r="P61" s="6">
        <f t="shared" si="7"/>
        <v>0.25385817619935558</v>
      </c>
      <c r="Q61" s="7"/>
      <c r="R61" s="6">
        <f t="shared" si="7"/>
        <v>0.26389389657428514</v>
      </c>
      <c r="S61" s="6">
        <f t="shared" si="7"/>
        <v>0.15590795787864853</v>
      </c>
      <c r="T61" s="7"/>
      <c r="U61" s="6">
        <f t="shared" si="7"/>
        <v>0.10201926861065182</v>
      </c>
      <c r="V61" s="6">
        <f t="shared" si="9"/>
        <v>0.22432070073705884</v>
      </c>
      <c r="W61" s="6">
        <f t="shared" si="15"/>
        <v>0.99999999999999978</v>
      </c>
      <c r="X61" s="7">
        <f t="shared" si="16"/>
        <v>0.77567929926294099</v>
      </c>
      <c r="Y61" s="7">
        <f t="shared" si="17"/>
        <v>0</v>
      </c>
    </row>
    <row r="62" spans="1:25" x14ac:dyDescent="0.2">
      <c r="A62">
        <f t="shared" si="2"/>
        <v>2007</v>
      </c>
      <c r="B62" s="2">
        <f t="shared" si="21"/>
        <v>182076.37306837732</v>
      </c>
      <c r="C62" s="2"/>
      <c r="D62" s="2">
        <f t="shared" si="22"/>
        <v>190407.59853617661</v>
      </c>
      <c r="E62" s="2">
        <f t="shared" si="23"/>
        <v>107330.45351608004</v>
      </c>
      <c r="F62" s="2"/>
      <c r="G62" s="2">
        <f t="shared" si="20"/>
        <v>80206.568908005924</v>
      </c>
      <c r="H62" s="2">
        <f t="shared" si="6"/>
        <v>163226.7511792696</v>
      </c>
      <c r="I62" s="2">
        <f t="shared" si="18"/>
        <v>723247.74520790949</v>
      </c>
      <c r="J62" s="2">
        <f t="shared" si="11"/>
        <v>42693.051513879211</v>
      </c>
      <c r="K62" s="6">
        <f t="shared" si="19"/>
        <v>6.2732726567709965E-2</v>
      </c>
      <c r="L62" s="7">
        <f t="shared" si="13"/>
        <v>1.06273272656771</v>
      </c>
      <c r="O62">
        <f t="shared" si="14"/>
        <v>2007</v>
      </c>
      <c r="P62" s="6">
        <f t="shared" si="7"/>
        <v>0.25174827612637279</v>
      </c>
      <c r="Q62" s="7"/>
      <c r="R62" s="6">
        <f t="shared" si="7"/>
        <v>0.26326746235681769</v>
      </c>
      <c r="S62" s="6">
        <f t="shared" si="7"/>
        <v>0.14840067491012521</v>
      </c>
      <c r="T62" s="7"/>
      <c r="U62" s="6">
        <f t="shared" si="7"/>
        <v>0.11089777941160289</v>
      </c>
      <c r="V62" s="6">
        <f t="shared" si="9"/>
        <v>0.22568580719508138</v>
      </c>
      <c r="W62" s="6">
        <f t="shared" si="15"/>
        <v>1</v>
      </c>
      <c r="X62" s="7">
        <f t="shared" si="16"/>
        <v>0.77431419280491864</v>
      </c>
      <c r="Y62" s="7">
        <f t="shared" si="17"/>
        <v>0</v>
      </c>
    </row>
    <row r="63" spans="1:25" x14ac:dyDescent="0.2">
      <c r="A63">
        <f t="shared" si="2"/>
        <v>2008</v>
      </c>
      <c r="B63" s="2">
        <f t="shared" si="21"/>
        <v>114671.69975846402</v>
      </c>
      <c r="C63" s="2"/>
      <c r="D63" s="2">
        <f t="shared" si="22"/>
        <v>110771.52452440611</v>
      </c>
      <c r="E63" s="2">
        <f t="shared" si="23"/>
        <v>68616.358932829971</v>
      </c>
      <c r="F63" s="2"/>
      <c r="G63" s="2">
        <f t="shared" si="20"/>
        <v>44834.66995388623</v>
      </c>
      <c r="H63" s="2">
        <f t="shared" si="6"/>
        <v>171469.70211382271</v>
      </c>
      <c r="I63" s="2">
        <f t="shared" si="18"/>
        <v>510363.9552834091</v>
      </c>
      <c r="J63" s="2">
        <f t="shared" si="11"/>
        <v>-212883.78992450039</v>
      </c>
      <c r="K63" s="6">
        <f t="shared" si="19"/>
        <v>-0.29434421515314013</v>
      </c>
      <c r="L63" s="7">
        <f t="shared" si="13"/>
        <v>0.70565578484685987</v>
      </c>
      <c r="O63">
        <f t="shared" si="14"/>
        <v>2008</v>
      </c>
      <c r="P63" s="6">
        <f t="shared" si="7"/>
        <v>0.22468612559988865</v>
      </c>
      <c r="Q63" s="7"/>
      <c r="R63" s="6">
        <f t="shared" si="7"/>
        <v>0.21704417676380341</v>
      </c>
      <c r="S63" s="6">
        <f t="shared" si="7"/>
        <v>0.13444593455806803</v>
      </c>
      <c r="T63" s="7"/>
      <c r="U63" s="6">
        <f t="shared" si="7"/>
        <v>8.7848425598530344E-2</v>
      </c>
      <c r="V63" s="6">
        <f t="shared" si="9"/>
        <v>0.33597533747970942</v>
      </c>
      <c r="W63" s="6">
        <f t="shared" si="15"/>
        <v>0.99999999999999978</v>
      </c>
      <c r="X63" s="7">
        <f t="shared" si="16"/>
        <v>0.66402466252029035</v>
      </c>
      <c r="Y63" s="7">
        <f t="shared" si="17"/>
        <v>0</v>
      </c>
    </row>
    <row r="64" spans="1:25" x14ac:dyDescent="0.2">
      <c r="A64">
        <f t="shared" si="2"/>
        <v>2009</v>
      </c>
      <c r="B64" s="2">
        <f t="shared" si="21"/>
        <v>145048.23302448113</v>
      </c>
      <c r="C64" s="2"/>
      <c r="D64" s="2">
        <f t="shared" si="22"/>
        <v>155321.61625763174</v>
      </c>
      <c r="E64" s="2">
        <f t="shared" si="23"/>
        <v>93399.215452189499</v>
      </c>
      <c r="F64" s="2"/>
      <c r="G64" s="2">
        <f t="shared" si="20"/>
        <v>61301.099187850028</v>
      </c>
      <c r="H64" s="2">
        <f t="shared" si="6"/>
        <v>181637.85544917238</v>
      </c>
      <c r="I64" s="2">
        <f t="shared" si="18"/>
        <v>636708.0193713248</v>
      </c>
      <c r="J64" s="2">
        <f t="shared" si="11"/>
        <v>126344.0640879157</v>
      </c>
      <c r="K64" s="6">
        <f t="shared" si="19"/>
        <v>0.24755679310807882</v>
      </c>
      <c r="L64" s="7">
        <f t="shared" si="13"/>
        <v>1.2475567931080789</v>
      </c>
      <c r="O64">
        <f t="shared" si="14"/>
        <v>2009</v>
      </c>
      <c r="P64" s="6">
        <f t="shared" si="7"/>
        <v>0.22780965310865631</v>
      </c>
      <c r="Q64" s="7"/>
      <c r="R64" s="6">
        <f t="shared" si="7"/>
        <v>0.24394480913086944</v>
      </c>
      <c r="S64" s="6">
        <f t="shared" si="7"/>
        <v>0.14669081056087588</v>
      </c>
      <c r="T64" s="7"/>
      <c r="U64" s="6">
        <f t="shared" si="7"/>
        <v>9.6278195535180702E-2</v>
      </c>
      <c r="V64" s="6">
        <f t="shared" si="9"/>
        <v>0.28527653166441763</v>
      </c>
      <c r="W64" s="6">
        <f t="shared" si="15"/>
        <v>1</v>
      </c>
      <c r="X64" s="7">
        <f t="shared" si="16"/>
        <v>0.71472346833558231</v>
      </c>
      <c r="Y64" s="7">
        <f t="shared" si="17"/>
        <v>0</v>
      </c>
    </row>
    <row r="65" spans="1:25" x14ac:dyDescent="0.2">
      <c r="A65">
        <f t="shared" si="2"/>
        <v>2010</v>
      </c>
      <c r="B65" s="2">
        <f t="shared" si="21"/>
        <v>166674.92456843128</v>
      </c>
      <c r="C65" s="2"/>
      <c r="D65" s="2">
        <f t="shared" si="22"/>
        <v>194866.49975682478</v>
      </c>
      <c r="E65" s="2">
        <f t="shared" si="23"/>
        <v>119289.47797553644</v>
      </c>
      <c r="F65" s="2"/>
      <c r="G65" s="2">
        <f t="shared" si="20"/>
        <v>68117.78141753895</v>
      </c>
      <c r="H65" s="2">
        <f t="shared" si="6"/>
        <v>193299.00576900924</v>
      </c>
      <c r="I65" s="2">
        <f t="shared" si="18"/>
        <v>742247.68948734063</v>
      </c>
      <c r="J65" s="2">
        <f t="shared" si="11"/>
        <v>105539.67011601583</v>
      </c>
      <c r="K65" s="6">
        <f t="shared" si="19"/>
        <v>0.16575834904706241</v>
      </c>
      <c r="L65" s="7">
        <f t="shared" si="13"/>
        <v>1.1657583490470624</v>
      </c>
      <c r="O65">
        <f t="shared" si="14"/>
        <v>2010</v>
      </c>
      <c r="P65" s="6">
        <f t="shared" si="7"/>
        <v>0.22455431917012925</v>
      </c>
      <c r="Q65" s="7"/>
      <c r="R65" s="6">
        <f t="shared" si="7"/>
        <v>0.26253567712877107</v>
      </c>
      <c r="S65" s="6">
        <f t="shared" si="7"/>
        <v>0.16071384211101808</v>
      </c>
      <c r="T65" s="7"/>
      <c r="U65" s="6">
        <f t="shared" si="7"/>
        <v>9.1772305097489598E-2</v>
      </c>
      <c r="V65" s="6">
        <f t="shared" si="9"/>
        <v>0.26042385649259209</v>
      </c>
      <c r="W65" s="6">
        <f t="shared" si="15"/>
        <v>1</v>
      </c>
      <c r="X65" s="7">
        <f t="shared" si="16"/>
        <v>0.73957614350740797</v>
      </c>
      <c r="Y65" s="7">
        <f t="shared" si="17"/>
        <v>0</v>
      </c>
    </row>
    <row r="66" spans="1:25" x14ac:dyDescent="0.2">
      <c r="A66">
        <f t="shared" si="2"/>
        <v>2011</v>
      </c>
      <c r="B66" s="2">
        <f t="shared" si="21"/>
        <v>169958.42058242939</v>
      </c>
      <c r="C66" s="2"/>
      <c r="D66" s="2">
        <f t="shared" si="22"/>
        <v>190754.81661195579</v>
      </c>
      <c r="E66" s="2">
        <f t="shared" si="23"/>
        <v>115949.37259222142</v>
      </c>
      <c r="F66" s="2"/>
      <c r="G66" s="2">
        <f t="shared" si="20"/>
        <v>58199.832443145286</v>
      </c>
      <c r="H66" s="2">
        <f t="shared" si="6"/>
        <v>207912.41060514635</v>
      </c>
      <c r="I66" s="2">
        <f t="shared" si="18"/>
        <v>742774.85283489816</v>
      </c>
      <c r="J66" s="2">
        <f t="shared" si="11"/>
        <v>527.16334755753633</v>
      </c>
      <c r="K66" s="6">
        <f t="shared" si="19"/>
        <v>7.1022564977149365E-4</v>
      </c>
      <c r="L66" s="7">
        <f t="shared" si="13"/>
        <v>1.0007102256497715</v>
      </c>
      <c r="O66">
        <f t="shared" si="14"/>
        <v>2011</v>
      </c>
      <c r="P66" s="6">
        <f t="shared" si="7"/>
        <v>0.22881552860030285</v>
      </c>
      <c r="Q66" s="7"/>
      <c r="R66" s="6">
        <f t="shared" si="7"/>
        <v>0.25681377860857146</v>
      </c>
      <c r="S66" s="6">
        <f t="shared" si="7"/>
        <v>0.15610298618711357</v>
      </c>
      <c r="T66" s="7"/>
      <c r="U66" s="6">
        <f t="shared" si="7"/>
        <v>7.8354608022899466E-2</v>
      </c>
      <c r="V66" s="6">
        <f t="shared" si="9"/>
        <v>0.27991309858111274</v>
      </c>
      <c r="W66" s="6">
        <f t="shared" si="15"/>
        <v>1.0000000000000002</v>
      </c>
      <c r="X66" s="7">
        <f t="shared" si="16"/>
        <v>0.72008690141888743</v>
      </c>
      <c r="Y66" s="7">
        <f t="shared" si="17"/>
        <v>0</v>
      </c>
    </row>
    <row r="67" spans="1:25" x14ac:dyDescent="0.2">
      <c r="A67">
        <f t="shared" si="2"/>
        <v>2012</v>
      </c>
      <c r="B67" s="2">
        <f t="shared" si="21"/>
        <v>196845.84271856971</v>
      </c>
      <c r="C67" s="2"/>
      <c r="D67" s="2">
        <f t="shared" si="22"/>
        <v>220894.0776366448</v>
      </c>
      <c r="E67" s="2">
        <f t="shared" si="23"/>
        <v>136866.63940785817</v>
      </c>
      <c r="F67" s="2"/>
      <c r="G67" s="2">
        <f t="shared" si="20"/>
        <v>68757.282048331836</v>
      </c>
      <c r="H67" s="2">
        <f t="shared" si="6"/>
        <v>216332.86323465477</v>
      </c>
      <c r="I67" s="2">
        <f t="shared" si="18"/>
        <v>839696.70504605921</v>
      </c>
      <c r="J67" s="2">
        <f t="shared" si="11"/>
        <v>96921.852211161051</v>
      </c>
      <c r="K67" s="6">
        <f t="shared" si="19"/>
        <v>0.13048617874076648</v>
      </c>
      <c r="L67" s="7">
        <f t="shared" si="13"/>
        <v>1.1304861787407665</v>
      </c>
      <c r="O67">
        <f t="shared" si="14"/>
        <v>2012</v>
      </c>
      <c r="P67" s="6">
        <f t="shared" si="7"/>
        <v>0.23442493168741477</v>
      </c>
      <c r="Q67" s="7"/>
      <c r="R67" s="6">
        <f t="shared" si="7"/>
        <v>0.26306412340218516</v>
      </c>
      <c r="S67" s="6">
        <f t="shared" si="7"/>
        <v>0.16299532746213494</v>
      </c>
      <c r="T67" s="7"/>
      <c r="U67" s="6">
        <f t="shared" si="7"/>
        <v>8.1883472490892228E-2</v>
      </c>
      <c r="V67" s="6">
        <f t="shared" si="9"/>
        <v>0.25763214495737297</v>
      </c>
      <c r="W67" s="6">
        <f t="shared" si="15"/>
        <v>1</v>
      </c>
      <c r="X67" s="7">
        <f t="shared" si="16"/>
        <v>0.74236785504262714</v>
      </c>
      <c r="Y67" s="7">
        <f t="shared" si="17"/>
        <v>0</v>
      </c>
    </row>
    <row r="68" spans="1:25" x14ac:dyDescent="0.2">
      <c r="A68">
        <f t="shared" si="2"/>
        <v>2013</v>
      </c>
      <c r="B68" s="2">
        <f t="shared" si="21"/>
        <v>260190.83490540547</v>
      </c>
      <c r="C68" s="2"/>
      <c r="D68" s="2">
        <f t="shared" si="22"/>
        <v>298207.0048094705</v>
      </c>
      <c r="E68" s="2">
        <f t="shared" si="23"/>
        <v>188355.86915309439</v>
      </c>
      <c r="F68" s="2"/>
      <c r="G68" s="2">
        <f t="shared" si="20"/>
        <v>79098.377268400931</v>
      </c>
      <c r="H68" s="2">
        <f t="shared" si="6"/>
        <v>211443.74052555158</v>
      </c>
      <c r="I68" s="2">
        <f t="shared" ref="I68" si="24">SUM(B68:H68)</f>
        <v>1037295.8266619229</v>
      </c>
      <c r="J68" s="2">
        <f t="shared" si="11"/>
        <v>197599.12161586364</v>
      </c>
      <c r="K68" s="6">
        <f>(J68/I66)</f>
        <v>0.26602828685125857</v>
      </c>
      <c r="L68" s="7">
        <f t="shared" ref="L68" si="25">K68+1</f>
        <v>1.2660282868512587</v>
      </c>
      <c r="O68">
        <f t="shared" ref="O68" si="26">A68</f>
        <v>2013</v>
      </c>
      <c r="P68" s="6">
        <f t="shared" ref="P68" si="27">B68/$I68</f>
        <v>0.25083570975380709</v>
      </c>
      <c r="Q68" s="7"/>
      <c r="R68" s="6">
        <f t="shared" ref="R68" si="28">D68/$I68</f>
        <v>0.28748501357526679</v>
      </c>
      <c r="S68" s="6">
        <f t="shared" ref="S68" si="29">E68/$I68</f>
        <v>0.18158356016839894</v>
      </c>
      <c r="T68" s="7"/>
      <c r="U68" s="6">
        <f t="shared" ref="U68" si="30">G68/$I68</f>
        <v>7.6254406154263654E-2</v>
      </c>
      <c r="V68" s="6">
        <f t="shared" ref="V68" si="31">H68/$I68</f>
        <v>0.20384131034826353</v>
      </c>
      <c r="W68" s="6">
        <f t="shared" ref="W68" si="32">SUM(P68:V68)</f>
        <v>1</v>
      </c>
      <c r="X68" s="7">
        <f t="shared" ref="X68" si="33">SUM(P68:U68)</f>
        <v>0.79615868965173653</v>
      </c>
      <c r="Y68" s="7">
        <f t="shared" ref="Y68" si="34">W68-(X68+V68)</f>
        <v>0</v>
      </c>
    </row>
    <row r="69" spans="1:25" x14ac:dyDescent="0.2">
      <c r="A69">
        <f t="shared" si="2"/>
        <v>2014</v>
      </c>
      <c r="B69" s="2">
        <f t="shared" si="21"/>
        <v>295342.61670112575</v>
      </c>
      <c r="C69" s="2"/>
      <c r="D69" s="2">
        <f t="shared" si="22"/>
        <v>338763.15746355854</v>
      </c>
      <c r="E69" s="2">
        <f t="shared" si="23"/>
        <v>202237.69670967746</v>
      </c>
      <c r="F69" s="2"/>
      <c r="G69" s="2">
        <f t="shared" si="20"/>
        <v>75744.606072220733</v>
      </c>
      <c r="H69" s="2">
        <f t="shared" si="6"/>
        <v>223622.89997982336</v>
      </c>
      <c r="I69" s="2">
        <f t="shared" si="18"/>
        <v>1135710.9769264059</v>
      </c>
      <c r="J69" s="2">
        <f t="shared" si="11"/>
        <v>98415.150264483062</v>
      </c>
      <c r="K69" s="6">
        <f>(J69/I67)</f>
        <v>0.11720321119883967</v>
      </c>
      <c r="L69" s="7">
        <f t="shared" si="13"/>
        <v>1.1172032111988397</v>
      </c>
      <c r="O69">
        <f t="shared" si="14"/>
        <v>2014</v>
      </c>
      <c r="P69" s="6">
        <f t="shared" si="7"/>
        <v>0.26005086038739939</v>
      </c>
      <c r="Q69" s="7"/>
      <c r="R69" s="6">
        <f t="shared" si="7"/>
        <v>0.29828289445643913</v>
      </c>
      <c r="S69" s="6">
        <f t="shared" si="7"/>
        <v>0.17807144671349115</v>
      </c>
      <c r="T69" s="7"/>
      <c r="U69" s="6">
        <f t="shared" si="7"/>
        <v>6.6693558142063278E-2</v>
      </c>
      <c r="V69" s="6">
        <f t="shared" si="9"/>
        <v>0.19690124030060699</v>
      </c>
      <c r="W69" s="6">
        <f t="shared" si="15"/>
        <v>0.99999999999999989</v>
      </c>
      <c r="X69" s="7">
        <f t="shared" si="16"/>
        <v>0.80309875969939293</v>
      </c>
      <c r="Y69" s="7">
        <f t="shared" si="17"/>
        <v>0</v>
      </c>
    </row>
    <row r="70" spans="1:25" x14ac:dyDescent="0.2">
      <c r="A70">
        <f t="shared" si="2"/>
        <v>2015</v>
      </c>
      <c r="B70" s="2">
        <f t="shared" si="21"/>
        <v>299034.39940988983</v>
      </c>
      <c r="C70" s="2"/>
      <c r="D70" s="2">
        <f t="shared" si="22"/>
        <v>333817.21536459058</v>
      </c>
      <c r="E70" s="2">
        <f t="shared" si="23"/>
        <v>194593.11177405165</v>
      </c>
      <c r="F70" s="2"/>
      <c r="G70" s="2">
        <f t="shared" si="20"/>
        <v>72434.566786864685</v>
      </c>
      <c r="H70" s="2">
        <f t="shared" si="6"/>
        <v>224293.76867976281</v>
      </c>
      <c r="I70" s="2">
        <f t="shared" ref="I70" si="35">SUM(B70:H70)</f>
        <v>1124173.0620151595</v>
      </c>
      <c r="J70" s="2">
        <f t="shared" si="11"/>
        <v>-11537.914911246393</v>
      </c>
      <c r="K70" s="6">
        <f t="shared" ref="K70" si="36">(J70/I68)</f>
        <v>-1.1123070791074193E-2</v>
      </c>
      <c r="L70" s="7">
        <f t="shared" si="13"/>
        <v>0.98887692920892578</v>
      </c>
      <c r="O70">
        <f t="shared" si="14"/>
        <v>2015</v>
      </c>
      <c r="P70" s="6">
        <f t="shared" ref="P70" si="37">B70/$I70</f>
        <v>0.26600388277748765</v>
      </c>
      <c r="Q70" s="7"/>
      <c r="R70" s="6">
        <f t="shared" ref="R70" si="38">D70/$I70</f>
        <v>0.2969446846255146</v>
      </c>
      <c r="S70" s="6">
        <f t="shared" ref="S70" si="39">E70/$I70</f>
        <v>0.17309889228730474</v>
      </c>
      <c r="T70" s="7"/>
      <c r="U70" s="6">
        <f t="shared" ref="U70" si="40">G70/$I70</f>
        <v>6.4433643924024134E-2</v>
      </c>
      <c r="V70" s="6">
        <f t="shared" si="9"/>
        <v>0.19951889638566894</v>
      </c>
      <c r="W70" s="6">
        <f t="shared" si="15"/>
        <v>1.0000000000000002</v>
      </c>
      <c r="X70" s="7">
        <f t="shared" si="16"/>
        <v>0.80048110361433122</v>
      </c>
      <c r="Y70" s="7">
        <f t="shared" si="17"/>
        <v>0</v>
      </c>
    </row>
    <row r="71" spans="1:25" x14ac:dyDescent="0.2">
      <c r="A71">
        <f t="shared" si="2"/>
        <v>2016</v>
      </c>
      <c r="B71" s="2">
        <f t="shared" si="21"/>
        <v>334380.26542013884</v>
      </c>
      <c r="C71" s="2"/>
      <c r="D71" s="2">
        <f t="shared" ref="D71:E71" si="41">D70*(1+(D32/100))</f>
        <v>370770.78110545076</v>
      </c>
      <c r="E71" s="2">
        <f t="shared" si="41"/>
        <v>229950.68018339682</v>
      </c>
      <c r="F71" s="2"/>
      <c r="G71" s="2">
        <f t="shared" ref="G71:H71" si="42">G70*(1+(G32/100))</f>
        <v>75802.774142453898</v>
      </c>
      <c r="H71" s="2">
        <f t="shared" si="42"/>
        <v>229901.11289675685</v>
      </c>
      <c r="I71" s="2">
        <f t="shared" ref="I71:I72" si="43">SUM(B71:H71)</f>
        <v>1240805.6137481972</v>
      </c>
      <c r="J71" s="2">
        <f t="shared" ref="J71" si="44">I71-I70</f>
        <v>116632.55173303769</v>
      </c>
      <c r="K71" s="6">
        <f t="shared" ref="K71" si="45">(J71/I69)</f>
        <v>0.1026956277632205</v>
      </c>
      <c r="L71" s="7">
        <f t="shared" ref="L71:L72" si="46">K71+1</f>
        <v>1.1026956277632205</v>
      </c>
      <c r="O71">
        <f t="shared" ref="O71:O72" si="47">A71</f>
        <v>2016</v>
      </c>
      <c r="P71" s="6">
        <f t="shared" ref="P71:P72" si="48">B71/$I71</f>
        <v>0.26948642213992779</v>
      </c>
      <c r="Q71" s="7"/>
      <c r="R71" s="6">
        <f t="shared" ref="R71:R72" si="49">D71/$I71</f>
        <v>0.29881455805590279</v>
      </c>
      <c r="S71" s="6">
        <f t="shared" ref="S71:S72" si="50">E71/$I71</f>
        <v>0.18532369424793871</v>
      </c>
      <c r="T71" s="7"/>
      <c r="U71" s="6">
        <f t="shared" ref="U71:U72" si="51">G71/$I71</f>
        <v>6.1091578973011422E-2</v>
      </c>
      <c r="V71" s="6">
        <f t="shared" ref="V71:V72" si="52">H71/$I71</f>
        <v>0.18528374658321931</v>
      </c>
      <c r="W71" s="6">
        <f t="shared" ref="W71:W72" si="53">SUM(P71:V71)</f>
        <v>1</v>
      </c>
      <c r="X71" s="7">
        <f t="shared" ref="X71:X72" si="54">SUM(P71:U71)</f>
        <v>0.81471625341678067</v>
      </c>
      <c r="Y71" s="7">
        <f t="shared" ref="Y71:Y72" si="55">W71-(X71+V71)</f>
        <v>0</v>
      </c>
    </row>
    <row r="72" spans="1:25" x14ac:dyDescent="0.2">
      <c r="A72">
        <f t="shared" si="2"/>
        <v>2017</v>
      </c>
      <c r="B72" s="2">
        <f t="shared" si="21"/>
        <v>406840.46893668291</v>
      </c>
      <c r="C72" s="2"/>
      <c r="D72" s="2">
        <f t="shared" ref="D72:E72" si="56">D71*(1+(D33/100))</f>
        <v>443441.85420211911</v>
      </c>
      <c r="E72" s="2">
        <f t="shared" si="56"/>
        <v>266972.73969292373</v>
      </c>
      <c r="F72" s="2"/>
      <c r="G72" s="2">
        <f t="shared" ref="G72:H72" si="57">G71*(1+(G33/100))</f>
        <v>96572.734257486271</v>
      </c>
      <c r="H72" s="2">
        <f t="shared" si="57"/>
        <v>237855.69140298464</v>
      </c>
      <c r="I72" s="2">
        <f t="shared" si="43"/>
        <v>1451683.4884921967</v>
      </c>
      <c r="J72" s="2">
        <f>I72-I71</f>
        <v>210877.87474399945</v>
      </c>
      <c r="K72" s="6">
        <f>(J72/I70)</f>
        <v>0.18758488516526625</v>
      </c>
      <c r="L72" s="7">
        <f t="shared" si="46"/>
        <v>1.1875848851652662</v>
      </c>
      <c r="O72">
        <f t="shared" si="47"/>
        <v>2017</v>
      </c>
      <c r="P72" s="6">
        <f t="shared" si="48"/>
        <v>0.28025425112415603</v>
      </c>
      <c r="Q72" s="7"/>
      <c r="R72" s="6">
        <f t="shared" si="49"/>
        <v>0.30546731275610478</v>
      </c>
      <c r="S72" s="6">
        <f t="shared" si="50"/>
        <v>0.18390561152570331</v>
      </c>
      <c r="T72" s="7"/>
      <c r="U72" s="6">
        <f t="shared" si="51"/>
        <v>6.6524648811561782E-2</v>
      </c>
      <c r="V72" s="6">
        <f t="shared" si="52"/>
        <v>0.1638481757824741</v>
      </c>
      <c r="W72" s="6">
        <f t="shared" si="53"/>
        <v>1</v>
      </c>
      <c r="X72" s="7">
        <f t="shared" si="54"/>
        <v>0.83615182421752587</v>
      </c>
      <c r="Y72" s="7">
        <f t="shared" si="55"/>
        <v>0</v>
      </c>
    </row>
    <row r="73" spans="1:25" x14ac:dyDescent="0.2">
      <c r="A73">
        <f t="shared" si="2"/>
        <v>2018</v>
      </c>
      <c r="B73" s="2">
        <f t="shared" si="21"/>
        <v>388532.64783453214</v>
      </c>
      <c r="C73" s="2"/>
      <c r="D73" s="2">
        <f t="shared" ref="D73:E75" si="58">D72*(1+(D34/100))</f>
        <v>402201.76176132204</v>
      </c>
      <c r="E73" s="2">
        <f t="shared" si="58"/>
        <v>241877.30216178892</v>
      </c>
      <c r="F73" s="2"/>
      <c r="G73" s="2">
        <f t="shared" ref="G73:H75" si="59">G72*(1+(G34/100))</f>
        <v>82569.687790150754</v>
      </c>
      <c r="H73" s="2">
        <f t="shared" si="59"/>
        <v>237617.83571158166</v>
      </c>
      <c r="I73" s="2">
        <f t="shared" ref="I73" si="60">SUM(B73:H73)</f>
        <v>1352799.2352593755</v>
      </c>
      <c r="J73" s="2">
        <f>I73-I72</f>
        <v>-98884.253232821124</v>
      </c>
      <c r="K73" s="6">
        <f>(J73/I71)</f>
        <v>-7.969358950119014E-2</v>
      </c>
      <c r="L73" s="7">
        <f t="shared" ref="L73" si="61">K73+1</f>
        <v>0.9203064104988099</v>
      </c>
      <c r="O73">
        <f t="shared" ref="O73" si="62">A73</f>
        <v>2018</v>
      </c>
      <c r="P73" s="6">
        <f t="shared" ref="P73" si="63">B73/$I73</f>
        <v>0.28720643662992446</v>
      </c>
      <c r="Q73" s="7"/>
      <c r="R73" s="6">
        <f t="shared" ref="R73" si="64">D73/$I73</f>
        <v>0.29731075482475927</v>
      </c>
      <c r="S73" s="6">
        <f t="shared" ref="S73" si="65">E73/$I73</f>
        <v>0.178797633719399</v>
      </c>
      <c r="T73" s="7"/>
      <c r="U73" s="6">
        <f t="shared" ref="U73" si="66">G73/$I73</f>
        <v>6.103617272840893E-2</v>
      </c>
      <c r="V73" s="6">
        <f t="shared" ref="V73" si="67">H73/$I73</f>
        <v>0.17564900209750828</v>
      </c>
      <c r="W73" s="6">
        <f t="shared" ref="W73" si="68">SUM(P73:V73)</f>
        <v>0.99999999999999978</v>
      </c>
      <c r="X73" s="7">
        <f t="shared" ref="X73" si="69">SUM(P73:U73)</f>
        <v>0.82435099790249156</v>
      </c>
      <c r="Y73" s="7">
        <f t="shared" ref="Y73" si="70">W73-(X73+V73)</f>
        <v>0</v>
      </c>
    </row>
    <row r="74" spans="1:25" x14ac:dyDescent="0.2">
      <c r="A74">
        <f t="shared" si="2"/>
        <v>2019</v>
      </c>
      <c r="B74" s="2">
        <f t="shared" si="21"/>
        <v>510749.47753736255</v>
      </c>
      <c r="C74" s="2"/>
      <c r="D74" s="2">
        <f t="shared" si="58"/>
        <v>527011.40366404841</v>
      </c>
      <c r="E74" s="2">
        <f t="shared" si="58"/>
        <v>308072.83095361432</v>
      </c>
      <c r="F74" s="2"/>
      <c r="G74" s="2">
        <f t="shared" si="59"/>
        <v>100328.77624005637</v>
      </c>
      <c r="H74" s="2">
        <f t="shared" si="59"/>
        <v>258323.8539154889</v>
      </c>
      <c r="I74" s="2">
        <f t="shared" ref="I74:I75" si="71">SUM(B74:H74)</f>
        <v>1704486.3423105704</v>
      </c>
      <c r="J74" s="2">
        <f>I74-I73</f>
        <v>351687.10705119488</v>
      </c>
      <c r="K74" s="6">
        <f>(J74/I72)</f>
        <v>0.24226156034637941</v>
      </c>
      <c r="L74" s="7">
        <f t="shared" ref="L74:L75" si="72">K74+1</f>
        <v>1.2422615603463794</v>
      </c>
      <c r="O74">
        <f t="shared" ref="O74:O75" si="73">A74</f>
        <v>2019</v>
      </c>
      <c r="P74" s="6">
        <f t="shared" ref="P74:P75" si="74">B74/$I74</f>
        <v>0.29965008510716484</v>
      </c>
      <c r="Q74" s="7"/>
      <c r="R74" s="6">
        <f t="shared" ref="R74:R75" si="75">D74/$I74</f>
        <v>0.30919074596376139</v>
      </c>
      <c r="S74" s="6">
        <f t="shared" ref="S74:S75" si="76">E74/$I74</f>
        <v>0.18074232882147734</v>
      </c>
      <c r="T74" s="7"/>
      <c r="U74" s="6">
        <f t="shared" ref="U74:U75" si="77">G74/$I74</f>
        <v>5.8861589999044825E-2</v>
      </c>
      <c r="V74" s="6">
        <f t="shared" ref="V74:V75" si="78">H74/$I74</f>
        <v>0.15155525010855167</v>
      </c>
      <c r="W74" s="6">
        <f t="shared" ref="W74:W75" si="79">SUM(P74:V74)</f>
        <v>1</v>
      </c>
      <c r="X74" s="7">
        <f t="shared" ref="X74:X75" si="80">SUM(P74:U74)</f>
        <v>0.84844474989144836</v>
      </c>
      <c r="Y74" s="7">
        <f t="shared" ref="Y74:Y75" si="81">W74-(X74+V74)</f>
        <v>0</v>
      </c>
    </row>
    <row r="75" spans="1:25" x14ac:dyDescent="0.2">
      <c r="A75">
        <f t="shared" si="2"/>
        <v>2020</v>
      </c>
      <c r="B75" s="2">
        <f t="shared" si="21"/>
        <v>604574.15656097606</v>
      </c>
      <c r="C75" s="2"/>
      <c r="D75" s="2">
        <f t="shared" si="58"/>
        <v>623138.28369237075</v>
      </c>
      <c r="E75" s="2">
        <f t="shared" si="58"/>
        <v>366945.54894885002</v>
      </c>
      <c r="F75" s="2"/>
      <c r="G75" s="2">
        <f t="shared" si="59"/>
        <v>111645.86219993472</v>
      </c>
      <c r="H75" s="2">
        <f t="shared" si="59"/>
        <v>278266.45543776464</v>
      </c>
      <c r="I75" s="2">
        <f t="shared" si="71"/>
        <v>1984570.3068398959</v>
      </c>
      <c r="J75" s="2">
        <f>I75-I74</f>
        <v>280083.96452932549</v>
      </c>
      <c r="K75" s="6">
        <f>(J75/I73)</f>
        <v>0.20704030371189874</v>
      </c>
      <c r="L75" s="7">
        <f t="shared" si="72"/>
        <v>1.2070403037118989</v>
      </c>
      <c r="O75">
        <f t="shared" si="73"/>
        <v>2020</v>
      </c>
      <c r="P75" s="6">
        <f t="shared" si="74"/>
        <v>0.30463730837717795</v>
      </c>
      <c r="Q75" s="7"/>
      <c r="R75" s="6">
        <f t="shared" si="75"/>
        <v>0.31399153839231664</v>
      </c>
      <c r="S75" s="6">
        <f t="shared" si="76"/>
        <v>0.18489924377290057</v>
      </c>
      <c r="T75" s="7"/>
      <c r="U75" s="6">
        <f t="shared" si="77"/>
        <v>5.625694479814753E-2</v>
      </c>
      <c r="V75" s="6">
        <f t="shared" si="78"/>
        <v>0.14021496465945746</v>
      </c>
      <c r="W75" s="6">
        <f t="shared" si="79"/>
        <v>1.0000000000000002</v>
      </c>
      <c r="X75" s="7">
        <f t="shared" si="80"/>
        <v>0.85978503534054274</v>
      </c>
      <c r="Y75" s="7">
        <f t="shared" si="81"/>
        <v>0</v>
      </c>
    </row>
    <row r="76" spans="1:25" x14ac:dyDescent="0.2">
      <c r="A76" s="9" t="s">
        <v>94</v>
      </c>
      <c r="B76" s="10">
        <f>B75</f>
        <v>604574.15656097606</v>
      </c>
      <c r="C76" s="10"/>
      <c r="D76" s="10">
        <f>D75</f>
        <v>623138.28369237075</v>
      </c>
      <c r="E76" s="10">
        <f>E75</f>
        <v>366945.54894885002</v>
      </c>
      <c r="F76" s="10"/>
      <c r="G76" s="10">
        <f>G75</f>
        <v>111645.86219993472</v>
      </c>
      <c r="H76" s="10">
        <f>H75</f>
        <v>278266.45543776464</v>
      </c>
      <c r="I76" s="52">
        <f>SUM(B76:H76)</f>
        <v>1984570.3068398959</v>
      </c>
      <c r="J76" s="10"/>
      <c r="K76" s="10"/>
      <c r="L76" s="74"/>
      <c r="O76" s="74" t="s">
        <v>132</v>
      </c>
      <c r="P76" s="88">
        <f>P75</f>
        <v>0.30463730837717795</v>
      </c>
      <c r="Q76" s="74"/>
      <c r="R76" s="88">
        <f>R75</f>
        <v>0.31399153839231664</v>
      </c>
      <c r="S76" s="74"/>
      <c r="T76" s="74"/>
      <c r="U76" s="88">
        <f>U75</f>
        <v>5.625694479814753E-2</v>
      </c>
      <c r="V76" s="88">
        <f>V75</f>
        <v>0.14021496465945746</v>
      </c>
      <c r="W76" s="88">
        <f>W73</f>
        <v>0.99999999999999978</v>
      </c>
      <c r="X76" s="88">
        <f>X75</f>
        <v>0.85978503534054274</v>
      </c>
      <c r="Y76" s="88">
        <f>Y73</f>
        <v>0</v>
      </c>
    </row>
    <row r="77" spans="1:25" x14ac:dyDescent="0.2">
      <c r="A77" s="11" t="s">
        <v>133</v>
      </c>
      <c r="I77" s="51">
        <f>(I76-I42)/I42</f>
        <v>18.845703068398958</v>
      </c>
      <c r="K77" s="6"/>
      <c r="R77" s="7"/>
    </row>
    <row r="78" spans="1:25" x14ac:dyDescent="0.2">
      <c r="A78" s="1" t="s">
        <v>96</v>
      </c>
      <c r="I78" s="29">
        <f>STDEV(L43:L75)</f>
        <v>0.12623761105903347</v>
      </c>
      <c r="S78" s="89"/>
      <c r="T78" s="89"/>
      <c r="U78" s="90" t="s">
        <v>134</v>
      </c>
      <c r="V78" s="89" t="b">
        <f>IF((V75=V76),TRUE,FALSE)</f>
        <v>1</v>
      </c>
      <c r="W78" s="89"/>
      <c r="X78" s="91" t="b">
        <f>IF(((SUM(P75:U75))=X76),TRUE,FALSE)</f>
        <v>1</v>
      </c>
      <c r="Y78" s="7"/>
    </row>
    <row r="79" spans="1:25" x14ac:dyDescent="0.2">
      <c r="A79" s="1" t="s">
        <v>135</v>
      </c>
      <c r="I79" s="13">
        <f>((1+I77)^(1/I84))-1</f>
        <v>9.4770854606085253E-2</v>
      </c>
    </row>
    <row r="80" spans="1:25" x14ac:dyDescent="0.2">
      <c r="A80" s="1" t="s">
        <v>98</v>
      </c>
      <c r="I80" s="31">
        <f>J63</f>
        <v>-212883.78992450039</v>
      </c>
    </row>
    <row r="81" spans="1:9" x14ac:dyDescent="0.2">
      <c r="A81" s="1" t="s">
        <v>136</v>
      </c>
      <c r="I81" s="32">
        <f>K63</f>
        <v>-0.29434421515314013</v>
      </c>
    </row>
    <row r="82" spans="1:9" x14ac:dyDescent="0.2">
      <c r="A82" s="3" t="s">
        <v>137</v>
      </c>
      <c r="I82" s="33">
        <f>I75-I76</f>
        <v>0</v>
      </c>
    </row>
    <row r="83" spans="1:9" x14ac:dyDescent="0.2">
      <c r="A83" s="3" t="s">
        <v>138</v>
      </c>
      <c r="I83" s="33">
        <f>((SUM(J43:J75))-(I76-I42))</f>
        <v>0</v>
      </c>
    </row>
    <row r="84" spans="1:9" x14ac:dyDescent="0.2">
      <c r="A84" s="3" t="s">
        <v>139</v>
      </c>
      <c r="I84" s="3">
        <f>COUNTA(I43:I75)</f>
        <v>33</v>
      </c>
    </row>
    <row r="85" spans="1:9" x14ac:dyDescent="0.2">
      <c r="A85" s="95" t="s">
        <v>100</v>
      </c>
      <c r="B85" s="63"/>
      <c r="C85" s="63"/>
      <c r="D85" s="63"/>
      <c r="E85" s="63"/>
      <c r="G85" s="63"/>
      <c r="H85" s="63"/>
      <c r="I85" s="94">
        <f>X76</f>
        <v>0.85978503534054274</v>
      </c>
    </row>
    <row r="86" spans="1:9" x14ac:dyDescent="0.2">
      <c r="A86" s="95" t="s">
        <v>179</v>
      </c>
      <c r="B86" s="2"/>
      <c r="D86" s="2"/>
      <c r="E86" s="2"/>
      <c r="G86" s="2"/>
      <c r="H86" s="2"/>
      <c r="I86" s="94">
        <f>V76</f>
        <v>0.14021496465945746</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87"/>
  <sheetViews>
    <sheetView topLeftCell="A30" zoomScaleNormal="100" workbookViewId="0">
      <selection activeCell="C70" sqref="C70"/>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104</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47"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6" spans="1:47"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row>
    <row r="39" spans="1:47" x14ac:dyDescent="0.2">
      <c r="A39" s="20" t="s">
        <v>140</v>
      </c>
      <c r="O39" s="20" t="s">
        <v>141</v>
      </c>
      <c r="AB39" s="20" t="s">
        <v>142</v>
      </c>
      <c r="AL39" s="20" t="s">
        <v>143</v>
      </c>
    </row>
    <row r="40" spans="1:47"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P40" s="4" t="str">
        <f>B40</f>
        <v>LC Stocks</v>
      </c>
      <c r="Q40" s="4" t="str">
        <f t="shared" ref="Q40:V41" si="1">C40</f>
        <v>Ext Mkt</v>
      </c>
      <c r="R40" s="4" t="str">
        <f t="shared" si="1"/>
        <v>Mcap Stk</v>
      </c>
      <c r="S40" s="4" t="str">
        <f t="shared" si="1"/>
        <v>Small Cap</v>
      </c>
      <c r="T40" s="4" t="str">
        <f t="shared" si="1"/>
        <v>Intl Val</v>
      </c>
      <c r="U40" s="4" t="str">
        <f t="shared" si="1"/>
        <v>Tot Int Stk</v>
      </c>
      <c r="V40" s="4" t="str">
        <f t="shared" si="1"/>
        <v>Bonds</v>
      </c>
      <c r="W40" s="5"/>
      <c r="X40" s="5" t="s">
        <v>124</v>
      </c>
      <c r="Y40" s="3" t="s">
        <v>125</v>
      </c>
      <c r="Z40" s="62"/>
      <c r="AC40" s="4" t="str">
        <f t="shared" ref="AC40:AI42" si="2">P40</f>
        <v>LC Stocks</v>
      </c>
      <c r="AD40" s="4" t="str">
        <f t="shared" si="2"/>
        <v>Ext Mkt</v>
      </c>
      <c r="AE40" s="4" t="str">
        <f t="shared" si="2"/>
        <v>Mcap Stk</v>
      </c>
      <c r="AF40" s="4" t="str">
        <f t="shared" si="2"/>
        <v>Small Cap</v>
      </c>
      <c r="AG40" s="4" t="str">
        <f t="shared" si="2"/>
        <v>Intl Val</v>
      </c>
      <c r="AH40" s="4" t="str">
        <f t="shared" si="2"/>
        <v>Tot Int Stk</v>
      </c>
      <c r="AI40" s="4" t="str">
        <f t="shared" si="2"/>
        <v>Bonds</v>
      </c>
      <c r="AJ40" s="5"/>
      <c r="AM40" s="4" t="str">
        <f>AC40</f>
        <v>LC Stocks</v>
      </c>
      <c r="AN40" s="4" t="str">
        <f t="shared" ref="AN40:AT42" si="3">AD40</f>
        <v>Ext Mkt</v>
      </c>
      <c r="AO40" s="4" t="str">
        <f t="shared" si="3"/>
        <v>Mcap Stk</v>
      </c>
      <c r="AP40" s="4" t="str">
        <f t="shared" si="3"/>
        <v>Small Cap</v>
      </c>
      <c r="AQ40" s="4" t="str">
        <f t="shared" si="3"/>
        <v>Intl Val</v>
      </c>
      <c r="AR40" s="4" t="str">
        <f t="shared" si="3"/>
        <v>Tot Int Stk</v>
      </c>
      <c r="AS40" s="4" t="str">
        <f t="shared" si="3"/>
        <v>Bonds</v>
      </c>
      <c r="AT40" s="4"/>
      <c r="AU40" t="s">
        <v>144</v>
      </c>
    </row>
    <row r="41" spans="1:47"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O41" t="s">
        <v>126</v>
      </c>
      <c r="P41" s="4" t="str">
        <f>B41</f>
        <v>VFIAX</v>
      </c>
      <c r="Q41" s="4" t="str">
        <f t="shared" si="1"/>
        <v>VEXMX</v>
      </c>
      <c r="R41" s="4" t="str">
        <f t="shared" si="1"/>
        <v>VIMAX</v>
      </c>
      <c r="S41" s="4" t="str">
        <f t="shared" si="1"/>
        <v>VSMAX</v>
      </c>
      <c r="T41" s="4" t="str">
        <f t="shared" si="1"/>
        <v>VTRIX</v>
      </c>
      <c r="U41" s="4" t="str">
        <f t="shared" si="1"/>
        <v>VTIAX</v>
      </c>
      <c r="V41" s="4" t="str">
        <f t="shared" si="1"/>
        <v>VBTLX</v>
      </c>
      <c r="W41" s="5" t="s">
        <v>67</v>
      </c>
      <c r="X41" s="5" t="s">
        <v>125</v>
      </c>
      <c r="Y41" s="3" t="s">
        <v>129</v>
      </c>
      <c r="Z41" s="62"/>
      <c r="AB41" t="str">
        <f>O41</f>
        <v>Fund</v>
      </c>
      <c r="AC41" s="4" t="str">
        <f t="shared" si="2"/>
        <v>VFIAX</v>
      </c>
      <c r="AD41" s="4" t="str">
        <f t="shared" si="2"/>
        <v>VEXMX</v>
      </c>
      <c r="AE41" s="4" t="str">
        <f t="shared" si="2"/>
        <v>VIMAX</v>
      </c>
      <c r="AF41" s="4" t="str">
        <f t="shared" si="2"/>
        <v>VSMAX</v>
      </c>
      <c r="AG41" s="4" t="str">
        <f t="shared" si="2"/>
        <v>VTRIX</v>
      </c>
      <c r="AH41" s="4" t="str">
        <f t="shared" si="2"/>
        <v>VTIAX</v>
      </c>
      <c r="AI41" s="4" t="str">
        <f t="shared" si="2"/>
        <v>VBTLX</v>
      </c>
      <c r="AJ41" s="4" t="str">
        <f>W41</f>
        <v>Total</v>
      </c>
      <c r="AL41" t="s">
        <v>126</v>
      </c>
      <c r="AM41" s="4" t="str">
        <f>AC41</f>
        <v>VFIAX</v>
      </c>
      <c r="AN41" s="4" t="str">
        <f t="shared" si="3"/>
        <v>VEXMX</v>
      </c>
      <c r="AO41" s="4" t="str">
        <f t="shared" si="3"/>
        <v>VIMAX</v>
      </c>
      <c r="AP41" s="4" t="str">
        <f t="shared" si="3"/>
        <v>VSMAX</v>
      </c>
      <c r="AQ41" s="4" t="str">
        <f t="shared" si="3"/>
        <v>VTRIX</v>
      </c>
      <c r="AR41" s="4" t="str">
        <f t="shared" si="3"/>
        <v>VTIAX</v>
      </c>
      <c r="AS41" s="4" t="str">
        <f t="shared" si="3"/>
        <v>VBTLX</v>
      </c>
      <c r="AT41" s="4" t="str">
        <f t="shared" si="3"/>
        <v>Total</v>
      </c>
      <c r="AU41" t="s">
        <v>129</v>
      </c>
    </row>
    <row r="42" spans="1:47" x14ac:dyDescent="0.2">
      <c r="A42" t="s">
        <v>130</v>
      </c>
      <c r="B42" s="2">
        <f>'Non-Rebalanced Portfolio'!B42</f>
        <v>20000</v>
      </c>
      <c r="C42" s="2">
        <f>'Non-Rebalanced Portfolio'!C42</f>
        <v>25000</v>
      </c>
      <c r="F42" s="2">
        <f>'Non-Rebalanced Portfolio'!F42</f>
        <v>15000</v>
      </c>
      <c r="H42" s="2">
        <f>'Non-Rebalanced Portfolio'!H42</f>
        <v>40000</v>
      </c>
      <c r="I42" s="2">
        <f>SUM(B42:H42)</f>
        <v>100000</v>
      </c>
      <c r="O42" s="21" t="s">
        <v>131</v>
      </c>
      <c r="P42" s="22">
        <f>B42/$I42</f>
        <v>0.2</v>
      </c>
      <c r="Q42" s="22">
        <f>C42/$I42</f>
        <v>0.25</v>
      </c>
      <c r="R42" s="56">
        <f>'Non-Rebalanced Portfolio'!R42</f>
        <v>0.15</v>
      </c>
      <c r="S42" s="56">
        <f>'Non-Rebalanced Portfolio'!S42</f>
        <v>0.1</v>
      </c>
      <c r="T42" s="22">
        <f>F42/$I42</f>
        <v>0.15</v>
      </c>
      <c r="U42" s="56">
        <f>'Non-Rebalanced Portfolio'!U42</f>
        <v>0.15</v>
      </c>
      <c r="V42" s="22">
        <f>H42/$I42</f>
        <v>0.4</v>
      </c>
      <c r="W42" s="22">
        <f>I42/$I42</f>
        <v>1</v>
      </c>
      <c r="X42" s="24"/>
      <c r="Z42" s="22"/>
      <c r="AB42" s="21" t="str">
        <f>O42</f>
        <v>Target Allocation</v>
      </c>
      <c r="AC42" s="24">
        <f t="shared" si="2"/>
        <v>0.2</v>
      </c>
      <c r="AD42" s="24">
        <f t="shared" si="2"/>
        <v>0.25</v>
      </c>
      <c r="AE42" s="25">
        <f t="shared" si="2"/>
        <v>0.15</v>
      </c>
      <c r="AF42" s="25">
        <f t="shared" si="2"/>
        <v>0.1</v>
      </c>
      <c r="AG42" s="24">
        <f t="shared" si="2"/>
        <v>0.15</v>
      </c>
      <c r="AH42" s="25">
        <f t="shared" si="2"/>
        <v>0.15</v>
      </c>
      <c r="AI42" s="24">
        <f t="shared" si="2"/>
        <v>0.4</v>
      </c>
      <c r="AJ42" s="24">
        <f>W42</f>
        <v>1</v>
      </c>
      <c r="AL42" s="21" t="str">
        <f>AB42</f>
        <v>Target Allocation</v>
      </c>
      <c r="AM42" s="24">
        <f>AC42</f>
        <v>0.2</v>
      </c>
      <c r="AN42" s="24">
        <f t="shared" si="3"/>
        <v>0.25</v>
      </c>
      <c r="AO42" s="25">
        <f t="shared" si="3"/>
        <v>0.15</v>
      </c>
      <c r="AP42" s="25">
        <f t="shared" si="3"/>
        <v>0.1</v>
      </c>
      <c r="AQ42" s="24">
        <f t="shared" si="3"/>
        <v>0.15</v>
      </c>
      <c r="AR42" s="25">
        <f t="shared" si="3"/>
        <v>0.15</v>
      </c>
      <c r="AS42" s="24">
        <f t="shared" si="3"/>
        <v>0.4</v>
      </c>
      <c r="AT42" s="24">
        <f t="shared" si="3"/>
        <v>1</v>
      </c>
      <c r="AU42" s="2"/>
    </row>
    <row r="43" spans="1:47" x14ac:dyDescent="0.2">
      <c r="A43">
        <f t="shared" ref="A43:A73" si="4">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6">
        <f>(J43/I42)</f>
        <v>0.13937449999999982</v>
      </c>
      <c r="L43" s="7">
        <f>K43+1</f>
        <v>1.1393744999999997</v>
      </c>
      <c r="O43">
        <f>A43</f>
        <v>1988</v>
      </c>
      <c r="P43" s="6">
        <f t="shared" ref="P43:U67" si="5">B43/$I43</f>
        <v>0.20400667208191864</v>
      </c>
      <c r="Q43" s="6">
        <f t="shared" ref="Q43:Q53" si="6">C43/$I43</f>
        <v>0.26274723543488121</v>
      </c>
      <c r="R43" s="7"/>
      <c r="S43" s="7"/>
      <c r="T43" s="6">
        <f t="shared" ref="T43:T51" si="7">F43/$I43</f>
        <v>0.15637264130450526</v>
      </c>
      <c r="U43" s="7"/>
      <c r="V43" s="6">
        <f t="shared" ref="V43:V67" si="8">H43/$I43</f>
        <v>0.37687345117869497</v>
      </c>
      <c r="W43" s="6">
        <f>SUM(P43:V43)</f>
        <v>1</v>
      </c>
      <c r="X43" s="7">
        <f>SUM(P43:U43)</f>
        <v>0.62312654882130514</v>
      </c>
      <c r="Y43" s="7">
        <f>W43-(X43+V43)</f>
        <v>0</v>
      </c>
      <c r="Z43" s="6"/>
      <c r="AB43">
        <f>O43</f>
        <v>1988</v>
      </c>
      <c r="AC43" s="1" t="b">
        <f>AND((B43/$I43)&gt;0.15,(B43/$I43)&lt;0.25)</f>
        <v>1</v>
      </c>
      <c r="AD43" s="1" t="b">
        <f>AND((C43/$I43)&gt;0.2,(C43/$I43)&lt;0.3)</f>
        <v>1</v>
      </c>
      <c r="AG43" s="1" t="b">
        <f>AND((F43/$I43)&gt;0.1,(F43/$I43)&lt;0.2)</f>
        <v>1</v>
      </c>
      <c r="AI43" s="1" t="b">
        <f>AND((H43/$I43)&gt;0.35,(H43/$I43)&lt;0.45)</f>
        <v>1</v>
      </c>
      <c r="AJ43" s="1" t="b">
        <f>AND((I43/$I43)&gt;0.999,(I43/$I43)&lt;1.01)</f>
        <v>1</v>
      </c>
      <c r="AL43">
        <f>A43</f>
        <v>1988</v>
      </c>
      <c r="AM43" s="2">
        <f>B43</f>
        <v>23243.999999999996</v>
      </c>
      <c r="AN43" s="2">
        <f t="shared" ref="AN43:AN52" si="9">C43</f>
        <v>29936.75</v>
      </c>
      <c r="AO43" s="2"/>
      <c r="AP43" s="2"/>
      <c r="AQ43" s="2">
        <f t="shared" ref="AQ43:AQ50" si="10">F43</f>
        <v>17816.7</v>
      </c>
      <c r="AR43" s="2"/>
      <c r="AS43" s="2">
        <f t="shared" ref="AS43:AS67" si="11">H43</f>
        <v>42939.999999999993</v>
      </c>
      <c r="AT43" s="2">
        <f>SUM(AM43:AS43)</f>
        <v>113937.44999999998</v>
      </c>
      <c r="AU43" s="2">
        <f>AT43-I43</f>
        <v>0</v>
      </c>
    </row>
    <row r="44" spans="1:47" x14ac:dyDescent="0.2">
      <c r="A44">
        <f t="shared" si="4"/>
        <v>1989</v>
      </c>
      <c r="B44" s="2">
        <f t="shared" ref="B44:B53" si="12">AM43*(1+(B5/100))</f>
        <v>30533.318399999996</v>
      </c>
      <c r="C44" s="2">
        <f t="shared" ref="C44:C53" si="13">AN43*(1+(C5/100))</f>
        <v>37150.309280000001</v>
      </c>
      <c r="D44" s="2"/>
      <c r="E44" s="2"/>
      <c r="F44" s="2">
        <f t="shared" ref="F44:F51" si="14">AQ43*(1+(F5/100))</f>
        <v>22443.875157000002</v>
      </c>
      <c r="G44" s="2"/>
      <c r="H44" s="2">
        <f t="shared" ref="H44:H73" si="15">AS43*(1+(H5/100))</f>
        <v>48797.015999999996</v>
      </c>
      <c r="I44" s="2">
        <f t="shared" ref="I44:I67" si="16">SUM(B44:H44)</f>
        <v>138924.51883700001</v>
      </c>
      <c r="J44" s="2">
        <f t="shared" ref="J44:J70" si="17">I44-I43</f>
        <v>24987.068837000028</v>
      </c>
      <c r="K44" s="6">
        <f t="shared" ref="K44:K67" si="18">(J44/I43)</f>
        <v>0.21930514362924597</v>
      </c>
      <c r="L44" s="7">
        <f t="shared" ref="L44:L67" si="19">K44+1</f>
        <v>1.2193051436292459</v>
      </c>
      <c r="O44">
        <f t="shared" ref="O44:O67" si="20">A44</f>
        <v>1989</v>
      </c>
      <c r="P44" s="6">
        <f t="shared" si="5"/>
        <v>0.21978351017954365</v>
      </c>
      <c r="Q44" s="6">
        <f t="shared" si="6"/>
        <v>0.26741362569402466</v>
      </c>
      <c r="R44" s="7"/>
      <c r="S44" s="7"/>
      <c r="T44" s="6">
        <f t="shared" si="7"/>
        <v>0.16155445665666388</v>
      </c>
      <c r="U44" s="7"/>
      <c r="V44" s="6">
        <f t="shared" si="8"/>
        <v>0.35124840746976771</v>
      </c>
      <c r="W44" s="6">
        <f t="shared" ref="W44:W67" si="21">SUM(P44:V44)</f>
        <v>0.99999999999999989</v>
      </c>
      <c r="X44" s="7">
        <f t="shared" ref="X44:X67" si="22">SUM(P44:U44)</f>
        <v>0.64875159253023218</v>
      </c>
      <c r="Y44" s="7">
        <f t="shared" ref="Y44:Y67" si="23">W44-(X44+V44)</f>
        <v>0</v>
      </c>
      <c r="Z44" s="6"/>
      <c r="AB44">
        <f t="shared" ref="AB44:AB67" si="24">O44</f>
        <v>1989</v>
      </c>
      <c r="AC44" s="1" t="b">
        <f t="shared" ref="AC44:AC67" si="25">AND((B44/$I44)&gt;0.15,(B44/$I44)&lt;0.25)</f>
        <v>1</v>
      </c>
      <c r="AD44" s="1" t="b">
        <f t="shared" ref="AD44:AD53" si="26">AND((C44/$I44)&gt;0.2,(C44/$I44)&lt;0.3)</f>
        <v>1</v>
      </c>
      <c r="AG44" s="1" t="b">
        <f t="shared" ref="AG44:AG51" si="27">AND((F44/$I44)&gt;0.1,(F44/$I44)&lt;0.2)</f>
        <v>1</v>
      </c>
      <c r="AI44" s="1" t="b">
        <f t="shared" ref="AI44:AI75" si="28">AND((H44/$I44)&gt;0.35,(H44/$I44)&lt;0.45)</f>
        <v>1</v>
      </c>
      <c r="AJ44" s="1" t="b">
        <f t="shared" ref="AJ44:AJ67" si="29">AND((I44/$I44)&gt;0.999,(I44/$I44)&lt;1.01)</f>
        <v>1</v>
      </c>
      <c r="AL44">
        <f t="shared" ref="AL44:AL67" si="30">A44</f>
        <v>1989</v>
      </c>
      <c r="AM44" s="2">
        <f>B44</f>
        <v>30533.318399999996</v>
      </c>
      <c r="AN44" s="2">
        <f t="shared" si="9"/>
        <v>37150.309280000001</v>
      </c>
      <c r="AO44" s="2"/>
      <c r="AP44" s="2"/>
      <c r="AQ44" s="2">
        <f t="shared" si="10"/>
        <v>22443.875157000002</v>
      </c>
      <c r="AR44" s="2"/>
      <c r="AS44" s="2">
        <f t="shared" si="11"/>
        <v>48797.015999999996</v>
      </c>
      <c r="AT44" s="2">
        <f t="shared" ref="AT44:AT67" si="31">I44</f>
        <v>138924.51883700001</v>
      </c>
      <c r="AU44" s="2">
        <f t="shared" ref="AU44:AU69" si="32">AT44-I44</f>
        <v>0</v>
      </c>
    </row>
    <row r="45" spans="1:47" x14ac:dyDescent="0.2">
      <c r="A45">
        <f t="shared" si="4"/>
        <v>1990</v>
      </c>
      <c r="B45" s="2">
        <f t="shared" si="12"/>
        <v>29519.612229119997</v>
      </c>
      <c r="C45" s="2">
        <f t="shared" si="13"/>
        <v>31932.548341624002</v>
      </c>
      <c r="D45" s="2"/>
      <c r="E45" s="2"/>
      <c r="F45" s="2">
        <f t="shared" si="14"/>
        <v>19692.2560627518</v>
      </c>
      <c r="G45" s="2"/>
      <c r="H45" s="2">
        <f t="shared" si="15"/>
        <v>53017.957883999996</v>
      </c>
      <c r="I45" s="2">
        <f t="shared" ref="I45:I51" si="33">SUM(B45:H45)</f>
        <v>134162.3745174958</v>
      </c>
      <c r="J45" s="2">
        <f t="shared" si="17"/>
        <v>-4762.1443195042084</v>
      </c>
      <c r="K45" s="6">
        <f t="shared" si="18"/>
        <v>-3.4278645406658759E-2</v>
      </c>
      <c r="L45" s="7">
        <f t="shared" si="19"/>
        <v>0.96572135459334119</v>
      </c>
      <c r="O45">
        <f t="shared" si="20"/>
        <v>1990</v>
      </c>
      <c r="P45" s="6">
        <f t="shared" si="5"/>
        <v>0.22002899348856123</v>
      </c>
      <c r="Q45" s="6">
        <f t="shared" si="6"/>
        <v>0.23801418584358577</v>
      </c>
      <c r="R45" s="7"/>
      <c r="S45" s="7"/>
      <c r="T45" s="6">
        <f t="shared" si="7"/>
        <v>0.1467792749910205</v>
      </c>
      <c r="U45" s="7"/>
      <c r="V45" s="6">
        <f t="shared" si="8"/>
        <v>0.39517754567683244</v>
      </c>
      <c r="W45" s="6">
        <f t="shared" si="21"/>
        <v>1</v>
      </c>
      <c r="X45" s="7">
        <f t="shared" si="22"/>
        <v>0.6048224543231675</v>
      </c>
      <c r="Y45" s="7">
        <f t="shared" si="23"/>
        <v>0</v>
      </c>
      <c r="Z45" s="6"/>
      <c r="AB45">
        <f t="shared" si="24"/>
        <v>1990</v>
      </c>
      <c r="AC45" s="1" t="b">
        <f t="shared" si="25"/>
        <v>1</v>
      </c>
      <c r="AD45" s="1" t="b">
        <f t="shared" si="26"/>
        <v>1</v>
      </c>
      <c r="AG45" s="1" t="b">
        <f t="shared" si="27"/>
        <v>1</v>
      </c>
      <c r="AI45" s="1" t="b">
        <f t="shared" si="28"/>
        <v>1</v>
      </c>
      <c r="AJ45" s="1" t="b">
        <f t="shared" si="29"/>
        <v>1</v>
      </c>
      <c r="AL45">
        <f t="shared" si="30"/>
        <v>1990</v>
      </c>
      <c r="AM45" s="2">
        <f>B45</f>
        <v>29519.612229119997</v>
      </c>
      <c r="AN45" s="2">
        <f t="shared" si="9"/>
        <v>31932.548341624002</v>
      </c>
      <c r="AO45" s="2"/>
      <c r="AP45" s="2"/>
      <c r="AQ45" s="2">
        <f t="shared" si="10"/>
        <v>19692.2560627518</v>
      </c>
      <c r="AR45" s="2"/>
      <c r="AS45" s="2">
        <f t="shared" si="11"/>
        <v>53017.957883999996</v>
      </c>
      <c r="AT45" s="2">
        <f t="shared" si="31"/>
        <v>134162.3745174958</v>
      </c>
      <c r="AU45" s="2">
        <f t="shared" si="32"/>
        <v>0</v>
      </c>
    </row>
    <row r="46" spans="1:47" x14ac:dyDescent="0.2">
      <c r="A46">
        <f t="shared" si="4"/>
        <v>1991</v>
      </c>
      <c r="B46" s="2">
        <f t="shared" si="12"/>
        <v>38440.43904476006</v>
      </c>
      <c r="C46" s="2">
        <f t="shared" si="13"/>
        <v>45296.31982259365</v>
      </c>
      <c r="D46" s="2"/>
      <c r="E46" s="2"/>
      <c r="F46" s="2">
        <f t="shared" si="14"/>
        <v>21652.81707635937</v>
      </c>
      <c r="G46" s="2"/>
      <c r="H46" s="2">
        <f t="shared" si="15"/>
        <v>61103.196461309999</v>
      </c>
      <c r="I46" s="2">
        <f t="shared" si="33"/>
        <v>166492.77240502308</v>
      </c>
      <c r="J46" s="2">
        <f t="shared" si="17"/>
        <v>32330.397887527273</v>
      </c>
      <c r="K46" s="6">
        <f t="shared" si="18"/>
        <v>0.24097961894160677</v>
      </c>
      <c r="L46" s="7">
        <f t="shared" si="19"/>
        <v>1.2409796189416067</v>
      </c>
      <c r="O46">
        <f t="shared" si="20"/>
        <v>1991</v>
      </c>
      <c r="P46" s="6">
        <f t="shared" si="5"/>
        <v>0.2308835301946135</v>
      </c>
      <c r="Q46" s="6">
        <f t="shared" si="6"/>
        <v>0.27206177882846683</v>
      </c>
      <c r="R46" s="7"/>
      <c r="S46" s="7"/>
      <c r="T46" s="6">
        <f t="shared" si="7"/>
        <v>0.1300525948579021</v>
      </c>
      <c r="U46" s="7"/>
      <c r="V46" s="6">
        <f t="shared" si="8"/>
        <v>0.36700209611901757</v>
      </c>
      <c r="W46" s="6">
        <f t="shared" si="21"/>
        <v>1</v>
      </c>
      <c r="X46" s="7">
        <f t="shared" si="22"/>
        <v>0.63299790388098243</v>
      </c>
      <c r="Y46" s="7">
        <f t="shared" si="23"/>
        <v>0</v>
      </c>
      <c r="Z46" s="6"/>
      <c r="AB46">
        <f t="shared" si="24"/>
        <v>1991</v>
      </c>
      <c r="AC46" s="1" t="b">
        <f t="shared" si="25"/>
        <v>1</v>
      </c>
      <c r="AD46" s="1" t="b">
        <f t="shared" si="26"/>
        <v>1</v>
      </c>
      <c r="AG46" s="1" t="b">
        <f t="shared" si="27"/>
        <v>1</v>
      </c>
      <c r="AI46" s="1" t="b">
        <f t="shared" si="28"/>
        <v>1</v>
      </c>
      <c r="AJ46" s="1" t="b">
        <f t="shared" si="29"/>
        <v>1</v>
      </c>
      <c r="AL46">
        <f t="shared" si="30"/>
        <v>1991</v>
      </c>
      <c r="AM46" s="2">
        <f>B46</f>
        <v>38440.43904476006</v>
      </c>
      <c r="AN46" s="2">
        <f t="shared" si="9"/>
        <v>45296.31982259365</v>
      </c>
      <c r="AO46" s="2"/>
      <c r="AP46" s="2"/>
      <c r="AQ46" s="2">
        <f t="shared" si="10"/>
        <v>21652.81707635937</v>
      </c>
      <c r="AR46" s="2"/>
      <c r="AS46" s="2">
        <f t="shared" si="11"/>
        <v>61103.196461309999</v>
      </c>
      <c r="AT46" s="2">
        <f t="shared" si="31"/>
        <v>166492.77240502308</v>
      </c>
      <c r="AU46" s="2">
        <f t="shared" si="32"/>
        <v>0</v>
      </c>
    </row>
    <row r="47" spans="1:47" x14ac:dyDescent="0.2">
      <c r="A47">
        <f t="shared" si="4"/>
        <v>1992</v>
      </c>
      <c r="B47" s="2">
        <f t="shared" si="12"/>
        <v>41292.719621881261</v>
      </c>
      <c r="C47" s="2">
        <f t="shared" si="13"/>
        <v>50942.959051678175</v>
      </c>
      <c r="D47" s="2"/>
      <c r="E47" s="2"/>
      <c r="F47" s="2">
        <f t="shared" si="14"/>
        <v>19764.474899130069</v>
      </c>
      <c r="G47" s="2"/>
      <c r="H47" s="2">
        <f t="shared" si="15"/>
        <v>65465.964688647524</v>
      </c>
      <c r="I47" s="2">
        <f t="shared" si="33"/>
        <v>177466.11826133705</v>
      </c>
      <c r="J47" s="2">
        <f t="shared" si="17"/>
        <v>10973.345856313972</v>
      </c>
      <c r="K47" s="6">
        <f t="shared" si="18"/>
        <v>6.5908842154537323E-2</v>
      </c>
      <c r="L47" s="7">
        <f t="shared" si="19"/>
        <v>1.0659088421545373</v>
      </c>
      <c r="O47">
        <f t="shared" si="20"/>
        <v>1992</v>
      </c>
      <c r="P47" s="6">
        <f t="shared" si="5"/>
        <v>0.23267945468370194</v>
      </c>
      <c r="Q47" s="6">
        <f t="shared" si="6"/>
        <v>0.28705738059058378</v>
      </c>
      <c r="R47" s="7"/>
      <c r="S47" s="7"/>
      <c r="T47" s="59">
        <f t="shared" si="7"/>
        <v>0.1113704130837237</v>
      </c>
      <c r="U47" s="7"/>
      <c r="V47" s="6">
        <f t="shared" si="8"/>
        <v>0.36889275164199054</v>
      </c>
      <c r="W47" s="6">
        <f t="shared" si="21"/>
        <v>0.99999999999999989</v>
      </c>
      <c r="X47" s="7">
        <f t="shared" si="22"/>
        <v>0.63110724835800935</v>
      </c>
      <c r="Y47" s="7">
        <f t="shared" si="23"/>
        <v>0</v>
      </c>
      <c r="Z47" s="6"/>
      <c r="AB47">
        <f t="shared" si="24"/>
        <v>1992</v>
      </c>
      <c r="AC47" s="1" t="b">
        <f t="shared" si="25"/>
        <v>1</v>
      </c>
      <c r="AD47" s="1" t="b">
        <f t="shared" si="26"/>
        <v>1</v>
      </c>
      <c r="AG47" s="1" t="b">
        <f t="shared" si="27"/>
        <v>1</v>
      </c>
      <c r="AI47" s="1" t="b">
        <f t="shared" si="28"/>
        <v>1</v>
      </c>
      <c r="AJ47" s="1" t="b">
        <f t="shared" si="29"/>
        <v>1</v>
      </c>
      <c r="AL47">
        <f t="shared" si="30"/>
        <v>1992</v>
      </c>
      <c r="AM47" s="2">
        <f>B47</f>
        <v>41292.719621881261</v>
      </c>
      <c r="AN47" s="2">
        <f t="shared" ref="AN47" si="34">C47</f>
        <v>50942.959051678175</v>
      </c>
      <c r="AO47" s="2"/>
      <c r="AP47" s="2"/>
      <c r="AQ47" s="2">
        <f t="shared" ref="AQ47" si="35">F47</f>
        <v>19764.474899130069</v>
      </c>
      <c r="AR47" s="2"/>
      <c r="AS47" s="2">
        <f t="shared" ref="AS47" si="36">H47</f>
        <v>65465.964688647524</v>
      </c>
      <c r="AT47" s="2">
        <f t="shared" si="31"/>
        <v>177466.11826133705</v>
      </c>
      <c r="AU47" s="2">
        <f t="shared" si="32"/>
        <v>0</v>
      </c>
    </row>
    <row r="48" spans="1:47" x14ac:dyDescent="0.2">
      <c r="A48">
        <f t="shared" si="4"/>
        <v>1993</v>
      </c>
      <c r="B48" s="2">
        <f t="shared" si="12"/>
        <v>45376.569592485313</v>
      </c>
      <c r="C48" s="2">
        <f t="shared" si="13"/>
        <v>58324.593818266345</v>
      </c>
      <c r="D48" s="2"/>
      <c r="E48" s="2"/>
      <c r="F48" s="2">
        <f t="shared" si="14"/>
        <v>25791.453874870793</v>
      </c>
      <c r="G48" s="2"/>
      <c r="H48" s="2">
        <f t="shared" si="15"/>
        <v>71803.070070508606</v>
      </c>
      <c r="I48" s="2">
        <f t="shared" ref="I48" si="37">SUM(B48:H48)</f>
        <v>201295.68735613106</v>
      </c>
      <c r="J48" s="2">
        <f t="shared" si="17"/>
        <v>23829.569094794017</v>
      </c>
      <c r="K48" s="6">
        <f t="shared" si="18"/>
        <v>0.13427672464048904</v>
      </c>
      <c r="L48" s="7">
        <f t="shared" si="19"/>
        <v>1.134276724640489</v>
      </c>
      <c r="O48">
        <f t="shared" si="20"/>
        <v>1993</v>
      </c>
      <c r="P48" s="6">
        <f t="shared" si="5"/>
        <v>0.22542246278831285</v>
      </c>
      <c r="Q48" s="6">
        <f t="shared" si="6"/>
        <v>0.28974586879786868</v>
      </c>
      <c r="R48" s="7"/>
      <c r="S48" s="7"/>
      <c r="T48" s="6">
        <f t="shared" si="7"/>
        <v>0.12812720537445352</v>
      </c>
      <c r="U48" s="7"/>
      <c r="V48" s="6">
        <f t="shared" si="8"/>
        <v>0.35670446303936493</v>
      </c>
      <c r="W48" s="6">
        <f t="shared" si="21"/>
        <v>1</v>
      </c>
      <c r="X48" s="7">
        <f t="shared" si="22"/>
        <v>0.64329553696063502</v>
      </c>
      <c r="Y48" s="7">
        <f t="shared" si="23"/>
        <v>0</v>
      </c>
      <c r="Z48" s="6"/>
      <c r="AB48">
        <f t="shared" si="24"/>
        <v>1993</v>
      </c>
      <c r="AC48" s="1" t="b">
        <f t="shared" si="25"/>
        <v>1</v>
      </c>
      <c r="AD48" s="1" t="b">
        <f t="shared" si="26"/>
        <v>1</v>
      </c>
      <c r="AG48" s="1" t="b">
        <f t="shared" si="27"/>
        <v>1</v>
      </c>
      <c r="AI48" s="1" t="b">
        <f t="shared" si="28"/>
        <v>1</v>
      </c>
      <c r="AJ48" s="1" t="b">
        <f t="shared" si="29"/>
        <v>1</v>
      </c>
      <c r="AL48">
        <f t="shared" si="30"/>
        <v>1993</v>
      </c>
      <c r="AM48" s="2">
        <f>B48</f>
        <v>45376.569592485313</v>
      </c>
      <c r="AN48" s="2">
        <f t="shared" si="9"/>
        <v>58324.593818266345</v>
      </c>
      <c r="AO48" s="2"/>
      <c r="AP48" s="2"/>
      <c r="AQ48" s="2">
        <f t="shared" si="10"/>
        <v>25791.453874870793</v>
      </c>
      <c r="AR48" s="2"/>
      <c r="AS48" s="2">
        <f t="shared" si="11"/>
        <v>71803.070070508606</v>
      </c>
      <c r="AT48" s="2">
        <f t="shared" si="31"/>
        <v>201295.68735613106</v>
      </c>
      <c r="AU48" s="2">
        <f t="shared" si="32"/>
        <v>0</v>
      </c>
    </row>
    <row r="49" spans="1:47" x14ac:dyDescent="0.2">
      <c r="A49">
        <f t="shared" si="4"/>
        <v>1994</v>
      </c>
      <c r="B49" s="2">
        <f t="shared" si="12"/>
        <v>45912.013113676643</v>
      </c>
      <c r="C49" s="2">
        <f t="shared" si="13"/>
        <v>57295.747983312125</v>
      </c>
      <c r="D49" s="2"/>
      <c r="E49" s="2"/>
      <c r="F49" s="2">
        <f t="shared" si="14"/>
        <v>27146.794775995255</v>
      </c>
      <c r="G49" s="2"/>
      <c r="H49" s="2">
        <f t="shared" si="15"/>
        <v>69893.10840663308</v>
      </c>
      <c r="I49" s="2">
        <f t="shared" si="33"/>
        <v>200247.66427961711</v>
      </c>
      <c r="J49" s="2">
        <f t="shared" si="17"/>
        <v>-1048.0230765139568</v>
      </c>
      <c r="K49" s="6">
        <f t="shared" si="18"/>
        <v>-5.2063861391118673E-3</v>
      </c>
      <c r="L49" s="7">
        <f t="shared" si="19"/>
        <v>0.99479361386088816</v>
      </c>
      <c r="O49">
        <f t="shared" si="20"/>
        <v>1994</v>
      </c>
      <c r="P49" s="6">
        <f t="shared" si="5"/>
        <v>0.22927614800823398</v>
      </c>
      <c r="Q49" s="6">
        <f t="shared" si="6"/>
        <v>0.28612442591743215</v>
      </c>
      <c r="R49" s="7"/>
      <c r="S49" s="7"/>
      <c r="T49" s="6">
        <f t="shared" si="7"/>
        <v>0.1355660994781375</v>
      </c>
      <c r="U49" s="7"/>
      <c r="V49" s="38">
        <f t="shared" si="8"/>
        <v>0.34903332659619635</v>
      </c>
      <c r="W49" s="6">
        <f t="shared" si="21"/>
        <v>1</v>
      </c>
      <c r="X49" s="7">
        <f t="shared" si="22"/>
        <v>0.65096667340380365</v>
      </c>
      <c r="Y49" s="7">
        <f t="shared" si="23"/>
        <v>0</v>
      </c>
      <c r="Z49" s="6"/>
      <c r="AB49">
        <f t="shared" si="24"/>
        <v>1994</v>
      </c>
      <c r="AC49" s="1" t="b">
        <f t="shared" si="25"/>
        <v>1</v>
      </c>
      <c r="AD49" s="1" t="b">
        <f t="shared" si="26"/>
        <v>1</v>
      </c>
      <c r="AG49" s="1" t="b">
        <f t="shared" si="27"/>
        <v>1</v>
      </c>
      <c r="AI49" s="39" t="b">
        <f t="shared" si="28"/>
        <v>0</v>
      </c>
      <c r="AJ49" s="1" t="b">
        <f t="shared" si="29"/>
        <v>1</v>
      </c>
      <c r="AL49">
        <f t="shared" si="30"/>
        <v>1994</v>
      </c>
      <c r="AM49" s="40">
        <f>AM$42*$AT49</f>
        <v>40049.532855923426</v>
      </c>
      <c r="AN49" s="40">
        <f>AN$42*$AT49</f>
        <v>50061.916069904277</v>
      </c>
      <c r="AO49" s="2"/>
      <c r="AP49" s="2"/>
      <c r="AQ49" s="40">
        <f>AQ$42*$AT49</f>
        <v>30037.149641942564</v>
      </c>
      <c r="AR49" s="2"/>
      <c r="AS49" s="40">
        <f>AS$42*$AT49</f>
        <v>80099.065711846852</v>
      </c>
      <c r="AT49" s="2">
        <f t="shared" si="31"/>
        <v>200247.66427961711</v>
      </c>
      <c r="AU49" s="2">
        <f t="shared" si="32"/>
        <v>0</v>
      </c>
    </row>
    <row r="50" spans="1:47" x14ac:dyDescent="0.2">
      <c r="A50">
        <f t="shared" si="4"/>
        <v>1995</v>
      </c>
      <c r="B50" s="2">
        <f t="shared" si="12"/>
        <v>55048.08291046675</v>
      </c>
      <c r="C50" s="2">
        <f t="shared" si="13"/>
        <v>66981.341844049821</v>
      </c>
      <c r="D50" s="2"/>
      <c r="E50" s="2"/>
      <c r="F50" s="2">
        <f t="shared" si="14"/>
        <v>32934.533096404346</v>
      </c>
      <c r="G50" s="2"/>
      <c r="H50" s="2">
        <f t="shared" si="15"/>
        <v>94661.075858260607</v>
      </c>
      <c r="I50" s="2">
        <f t="shared" si="33"/>
        <v>249625.03370918153</v>
      </c>
      <c r="J50" s="2">
        <f t="shared" si="17"/>
        <v>49377.369429564424</v>
      </c>
      <c r="K50" s="6">
        <f t="shared" si="18"/>
        <v>0.24658150000000009</v>
      </c>
      <c r="L50" s="7">
        <f t="shared" si="19"/>
        <v>1.2465815</v>
      </c>
      <c r="O50">
        <f t="shared" si="20"/>
        <v>1995</v>
      </c>
      <c r="P50" s="6">
        <f t="shared" si="5"/>
        <v>0.22052308653706157</v>
      </c>
      <c r="Q50" s="6">
        <f t="shared" si="6"/>
        <v>0.26832782293014934</v>
      </c>
      <c r="R50" s="7"/>
      <c r="S50" s="7"/>
      <c r="T50" s="6">
        <f t="shared" si="7"/>
        <v>0.13193601862373217</v>
      </c>
      <c r="U50" s="7"/>
      <c r="V50" s="6">
        <f t="shared" si="8"/>
        <v>0.3792130719090569</v>
      </c>
      <c r="W50" s="6">
        <f t="shared" si="21"/>
        <v>1</v>
      </c>
      <c r="X50" s="7">
        <f t="shared" si="22"/>
        <v>0.62078692809094305</v>
      </c>
      <c r="Y50" s="7">
        <f t="shared" si="23"/>
        <v>0</v>
      </c>
      <c r="Z50" s="6"/>
      <c r="AB50">
        <f t="shared" si="24"/>
        <v>1995</v>
      </c>
      <c r="AC50" s="1" t="b">
        <f t="shared" si="25"/>
        <v>1</v>
      </c>
      <c r="AD50" s="1" t="b">
        <f t="shared" si="26"/>
        <v>1</v>
      </c>
      <c r="AG50" s="1" t="b">
        <f t="shared" si="27"/>
        <v>1</v>
      </c>
      <c r="AI50" s="1" t="b">
        <f t="shared" si="28"/>
        <v>1</v>
      </c>
      <c r="AJ50" s="1" t="b">
        <f t="shared" si="29"/>
        <v>1</v>
      </c>
      <c r="AL50">
        <f t="shared" si="30"/>
        <v>1995</v>
      </c>
      <c r="AM50" s="2">
        <f>B50</f>
        <v>55048.08291046675</v>
      </c>
      <c r="AN50" s="2">
        <f t="shared" si="9"/>
        <v>66981.341844049821</v>
      </c>
      <c r="AO50" s="2"/>
      <c r="AP50" s="2"/>
      <c r="AQ50" s="2">
        <f t="shared" si="10"/>
        <v>32934.533096404346</v>
      </c>
      <c r="AR50" s="2"/>
      <c r="AS50" s="2">
        <f t="shared" si="11"/>
        <v>94661.075858260607</v>
      </c>
      <c r="AT50" s="2">
        <f t="shared" si="31"/>
        <v>249625.03370918153</v>
      </c>
      <c r="AU50" s="2">
        <f t="shared" si="32"/>
        <v>0</v>
      </c>
    </row>
    <row r="51" spans="1:47" x14ac:dyDescent="0.2">
      <c r="A51">
        <f t="shared" si="4"/>
        <v>1996</v>
      </c>
      <c r="B51" s="2">
        <f t="shared" si="12"/>
        <v>67643.084280381547</v>
      </c>
      <c r="C51" s="2">
        <f t="shared" si="13"/>
        <v>78801.539239269288</v>
      </c>
      <c r="D51" s="2"/>
      <c r="E51" s="2"/>
      <c r="F51" s="2">
        <f t="shared" si="14"/>
        <v>36300.113033525908</v>
      </c>
      <c r="G51" s="2"/>
      <c r="H51" s="2">
        <f t="shared" si="15"/>
        <v>98049.942373986341</v>
      </c>
      <c r="I51" s="2">
        <f t="shared" si="33"/>
        <v>280794.67892716307</v>
      </c>
      <c r="J51" s="2">
        <f t="shared" si="17"/>
        <v>31169.645217981539</v>
      </c>
      <c r="K51" s="6">
        <f t="shared" si="18"/>
        <v>0.12486586282966651</v>
      </c>
      <c r="L51" s="7">
        <f t="shared" si="19"/>
        <v>1.1248658628296666</v>
      </c>
      <c r="O51">
        <f t="shared" si="20"/>
        <v>1996</v>
      </c>
      <c r="P51" s="6">
        <f t="shared" si="5"/>
        <v>0.2408987397440244</v>
      </c>
      <c r="Q51" s="6">
        <f t="shared" si="6"/>
        <v>0.28063758024314295</v>
      </c>
      <c r="R51" s="7"/>
      <c r="S51" s="7"/>
      <c r="T51" s="6">
        <f t="shared" si="7"/>
        <v>0.12927635656137915</v>
      </c>
      <c r="U51" s="6"/>
      <c r="V51" s="38">
        <f t="shared" si="8"/>
        <v>0.34918732345145354</v>
      </c>
      <c r="W51" s="6">
        <f t="shared" si="21"/>
        <v>1</v>
      </c>
      <c r="X51" s="7">
        <f t="shared" si="22"/>
        <v>0.65081267654854646</v>
      </c>
      <c r="Y51" s="7">
        <f t="shared" si="23"/>
        <v>0</v>
      </c>
      <c r="Z51" s="6"/>
      <c r="AB51">
        <f t="shared" si="24"/>
        <v>1996</v>
      </c>
      <c r="AC51" s="1" t="b">
        <f t="shared" si="25"/>
        <v>1</v>
      </c>
      <c r="AD51" s="1" t="b">
        <f t="shared" si="26"/>
        <v>1</v>
      </c>
      <c r="AG51" s="1" t="b">
        <f t="shared" si="27"/>
        <v>1</v>
      </c>
      <c r="AI51" s="39" t="b">
        <f t="shared" si="28"/>
        <v>0</v>
      </c>
      <c r="AJ51" s="1" t="b">
        <f t="shared" si="29"/>
        <v>1</v>
      </c>
      <c r="AL51">
        <f t="shared" si="30"/>
        <v>1996</v>
      </c>
      <c r="AM51" s="40">
        <f>AM$42*$AT51</f>
        <v>56158.935785432615</v>
      </c>
      <c r="AN51" s="40">
        <f>AN$42*$AT51</f>
        <v>70198.669731790767</v>
      </c>
      <c r="AO51" s="2"/>
      <c r="AP51" s="2"/>
      <c r="AQ51" s="40">
        <f>AQ$42*$AT51</f>
        <v>42119.201839074456</v>
      </c>
      <c r="AR51" s="2"/>
      <c r="AS51" s="40">
        <f>AS$42*$AT51</f>
        <v>112317.87157086523</v>
      </c>
      <c r="AT51" s="2">
        <f t="shared" si="31"/>
        <v>280794.67892716307</v>
      </c>
      <c r="AU51" s="2">
        <f t="shared" si="32"/>
        <v>0</v>
      </c>
    </row>
    <row r="52" spans="1:47" x14ac:dyDescent="0.2">
      <c r="A52">
        <f t="shared" si="4"/>
        <v>1997</v>
      </c>
      <c r="B52" s="2">
        <f t="shared" si="12"/>
        <v>74798.0865726177</v>
      </c>
      <c r="C52" s="2">
        <f t="shared" si="13"/>
        <v>88932.58872311376</v>
      </c>
      <c r="D52" s="2"/>
      <c r="E52" s="2"/>
      <c r="F52" s="2"/>
      <c r="G52" s="2">
        <f>AQ51*(1+(G13/100))</f>
        <v>41792.77802482163</v>
      </c>
      <c r="H52" s="2">
        <f t="shared" si="15"/>
        <v>122920.67864715491</v>
      </c>
      <c r="I52" s="2">
        <f t="shared" si="16"/>
        <v>328444.131967708</v>
      </c>
      <c r="J52" s="2">
        <f t="shared" si="17"/>
        <v>47649.453040544933</v>
      </c>
      <c r="K52" s="6">
        <f t="shared" si="18"/>
        <v>0.16969499999999998</v>
      </c>
      <c r="L52" s="7">
        <f t="shared" si="19"/>
        <v>1.1696949999999999</v>
      </c>
      <c r="O52">
        <f t="shared" si="20"/>
        <v>1997</v>
      </c>
      <c r="P52" s="6">
        <f t="shared" si="5"/>
        <v>0.22773458038206543</v>
      </c>
      <c r="Q52" s="6">
        <f t="shared" si="6"/>
        <v>0.2707693031089301</v>
      </c>
      <c r="R52" s="7"/>
      <c r="S52" s="7"/>
      <c r="T52" s="6"/>
      <c r="U52" s="6">
        <f t="shared" si="5"/>
        <v>0.12724470909083135</v>
      </c>
      <c r="V52" s="6">
        <f t="shared" si="8"/>
        <v>0.37425140741817314</v>
      </c>
      <c r="W52" s="6">
        <f t="shared" si="21"/>
        <v>1</v>
      </c>
      <c r="X52" s="7">
        <f t="shared" si="22"/>
        <v>0.62574859258182691</v>
      </c>
      <c r="Y52" s="7">
        <f t="shared" si="23"/>
        <v>0</v>
      </c>
      <c r="Z52" s="6"/>
      <c r="AB52">
        <f t="shared" si="24"/>
        <v>1997</v>
      </c>
      <c r="AC52" s="1" t="b">
        <f t="shared" si="25"/>
        <v>1</v>
      </c>
      <c r="AD52" s="1" t="b">
        <f t="shared" si="26"/>
        <v>1</v>
      </c>
      <c r="AG52" s="1"/>
      <c r="AH52" s="1" t="b">
        <f>AND((G52/$I52)&gt;0.1,(G52/$I52)&lt;0.2)</f>
        <v>1</v>
      </c>
      <c r="AI52" s="1" t="b">
        <f t="shared" si="28"/>
        <v>1</v>
      </c>
      <c r="AJ52" s="1" t="b">
        <f t="shared" si="29"/>
        <v>1</v>
      </c>
      <c r="AL52">
        <f t="shared" si="30"/>
        <v>1997</v>
      </c>
      <c r="AM52" s="2">
        <f>B52</f>
        <v>74798.0865726177</v>
      </c>
      <c r="AN52" s="2">
        <f t="shared" si="9"/>
        <v>88932.58872311376</v>
      </c>
      <c r="AO52" s="2"/>
      <c r="AP52" s="2"/>
      <c r="AQ52" s="2"/>
      <c r="AR52" s="2">
        <f t="shared" ref="AR52:AR67" si="38">G52</f>
        <v>41792.77802482163</v>
      </c>
      <c r="AS52" s="2">
        <f t="shared" si="11"/>
        <v>122920.67864715491</v>
      </c>
      <c r="AT52" s="2">
        <f t="shared" si="31"/>
        <v>328444.131967708</v>
      </c>
      <c r="AU52" s="2">
        <f t="shared" si="32"/>
        <v>0</v>
      </c>
    </row>
    <row r="53" spans="1:47" x14ac:dyDescent="0.2">
      <c r="A53">
        <f t="shared" si="4"/>
        <v>1998</v>
      </c>
      <c r="B53" s="2">
        <f t="shared" si="12"/>
        <v>96235.218184329933</v>
      </c>
      <c r="C53" s="2">
        <f t="shared" si="13"/>
        <v>96361.127859155458</v>
      </c>
      <c r="D53" s="2"/>
      <c r="E53" s="2"/>
      <c r="F53" s="2"/>
      <c r="G53" s="2">
        <f t="shared" ref="G53:G73" si="39">AR52*(1+(G14/100))</f>
        <v>48313.705180034543</v>
      </c>
      <c r="H53" s="2">
        <f t="shared" si="15"/>
        <v>133467.27287508082</v>
      </c>
      <c r="I53" s="2">
        <f t="shared" si="16"/>
        <v>374377.32409860077</v>
      </c>
      <c r="J53" s="2">
        <f t="shared" si="17"/>
        <v>45933.19213089277</v>
      </c>
      <c r="K53" s="6">
        <f t="shared" si="18"/>
        <v>0.13985085334211067</v>
      </c>
      <c r="L53" s="7">
        <f t="shared" si="19"/>
        <v>1.1398508533421108</v>
      </c>
      <c r="O53">
        <f t="shared" si="20"/>
        <v>1998</v>
      </c>
      <c r="P53" s="38">
        <f t="shared" si="5"/>
        <v>0.2570540788388781</v>
      </c>
      <c r="Q53" s="6">
        <f t="shared" si="6"/>
        <v>0.25739039641668193</v>
      </c>
      <c r="R53" s="7"/>
      <c r="S53" s="7"/>
      <c r="T53" s="7"/>
      <c r="U53" s="6">
        <f t="shared" si="5"/>
        <v>0.12905083206190671</v>
      </c>
      <c r="V53" s="6">
        <f t="shared" si="8"/>
        <v>0.35650469268253326</v>
      </c>
      <c r="W53" s="6">
        <f t="shared" si="21"/>
        <v>1</v>
      </c>
      <c r="X53" s="7">
        <f t="shared" si="22"/>
        <v>0.64349530731746674</v>
      </c>
      <c r="Y53" s="7">
        <f t="shared" si="23"/>
        <v>0</v>
      </c>
      <c r="Z53" s="6"/>
      <c r="AB53">
        <f t="shared" si="24"/>
        <v>1998</v>
      </c>
      <c r="AC53" s="39" t="b">
        <f t="shared" si="25"/>
        <v>0</v>
      </c>
      <c r="AD53" s="1" t="b">
        <f t="shared" si="26"/>
        <v>1</v>
      </c>
      <c r="AH53" s="1" t="b">
        <f t="shared" ref="AH53:AH75" si="40">AND((G53/$I53)&gt;0.1,(G53/$I53)&lt;0.2)</f>
        <v>1</v>
      </c>
      <c r="AI53" s="1" t="b">
        <f t="shared" si="28"/>
        <v>1</v>
      </c>
      <c r="AJ53" s="1" t="b">
        <f t="shared" si="29"/>
        <v>1</v>
      </c>
      <c r="AL53">
        <f t="shared" si="30"/>
        <v>1998</v>
      </c>
      <c r="AM53" s="40">
        <f>AM$42*$AT53</f>
        <v>74875.46481972016</v>
      </c>
      <c r="AN53" s="40">
        <f>AN$42*$AT53</f>
        <v>93594.331024650193</v>
      </c>
      <c r="AO53" s="2"/>
      <c r="AP53" s="2"/>
      <c r="AQ53" s="2"/>
      <c r="AR53" s="40">
        <f>AR$42*$AT53</f>
        <v>56156.598614790113</v>
      </c>
      <c r="AS53" s="40">
        <f>AS$42*$AT53</f>
        <v>149750.92963944032</v>
      </c>
      <c r="AT53" s="2">
        <f t="shared" si="31"/>
        <v>374377.32409860077</v>
      </c>
      <c r="AU53" s="2">
        <f t="shared" si="32"/>
        <v>0</v>
      </c>
    </row>
    <row r="54" spans="1:47" x14ac:dyDescent="0.2">
      <c r="A54">
        <f t="shared" si="4"/>
        <v>1999</v>
      </c>
      <c r="B54" s="2">
        <f t="shared" ref="B54:B73" si="41">AM53*(1+(B15/100))</f>
        <v>90651.725257235201</v>
      </c>
      <c r="C54" s="2"/>
      <c r="D54" s="2">
        <f>(AN53*0.6)*(1+(D15/100))</f>
        <v>64759.227956589806</v>
      </c>
      <c r="E54" s="2">
        <f>(AN53*0.4)*(1+(E15/100))</f>
        <v>46098.203048233016</v>
      </c>
      <c r="F54" s="2"/>
      <c r="G54" s="2">
        <f t="shared" si="39"/>
        <v>72958.091354349177</v>
      </c>
      <c r="H54" s="2">
        <f t="shared" si="15"/>
        <v>148612.82257418058</v>
      </c>
      <c r="I54" s="2">
        <f t="shared" si="16"/>
        <v>423080.07019058778</v>
      </c>
      <c r="J54" s="2">
        <f t="shared" si="17"/>
        <v>48702.746091987006</v>
      </c>
      <c r="K54" s="6">
        <f t="shared" si="18"/>
        <v>0.13009000000000009</v>
      </c>
      <c r="L54" s="7">
        <f t="shared" si="19"/>
        <v>1.13009</v>
      </c>
      <c r="O54">
        <f t="shared" si="20"/>
        <v>1999</v>
      </c>
      <c r="P54" s="6">
        <f t="shared" si="5"/>
        <v>0.21426612039749046</v>
      </c>
      <c r="Q54" s="7"/>
      <c r="R54" s="6">
        <f t="shared" si="5"/>
        <v>0.15306612747657264</v>
      </c>
      <c r="S54" s="6">
        <f t="shared" si="5"/>
        <v>0.10895857852029485</v>
      </c>
      <c r="T54" s="7"/>
      <c r="U54" s="6">
        <f t="shared" si="5"/>
        <v>0.17244511499084145</v>
      </c>
      <c r="V54" s="6">
        <f t="shared" si="8"/>
        <v>0.35126405861480059</v>
      </c>
      <c r="W54" s="6">
        <f t="shared" si="21"/>
        <v>1</v>
      </c>
      <c r="X54" s="7">
        <f t="shared" si="22"/>
        <v>0.64873594138519941</v>
      </c>
      <c r="Y54" s="7">
        <f t="shared" si="23"/>
        <v>0</v>
      </c>
      <c r="Z54" s="6"/>
      <c r="AB54">
        <f t="shared" si="24"/>
        <v>1999</v>
      </c>
      <c r="AC54" s="1" t="b">
        <f t="shared" si="25"/>
        <v>1</v>
      </c>
      <c r="AE54" s="1" t="b">
        <f>AND((D54/$I54)&gt;0.1,(D54/$I54)&lt;0.2)</f>
        <v>1</v>
      </c>
      <c r="AF54" s="1" t="b">
        <f>AND((E54/$I54)&gt;0.05,(E54/$I54)&lt;0.15)</f>
        <v>1</v>
      </c>
      <c r="AH54" s="1" t="b">
        <f t="shared" si="40"/>
        <v>1</v>
      </c>
      <c r="AI54" s="1" t="b">
        <f t="shared" si="28"/>
        <v>1</v>
      </c>
      <c r="AJ54" s="1" t="b">
        <f t="shared" si="29"/>
        <v>1</v>
      </c>
      <c r="AL54">
        <f t="shared" si="30"/>
        <v>1999</v>
      </c>
      <c r="AM54" s="26">
        <f>B54</f>
        <v>90651.725257235201</v>
      </c>
      <c r="AN54" s="2"/>
      <c r="AO54" s="26">
        <f t="shared" ref="AO54:AP56" si="42">D54</f>
        <v>64759.227956589806</v>
      </c>
      <c r="AP54" s="26">
        <f t="shared" si="42"/>
        <v>46098.203048233016</v>
      </c>
      <c r="AQ54" s="2"/>
      <c r="AR54" s="2">
        <f t="shared" si="38"/>
        <v>72958.091354349177</v>
      </c>
      <c r="AS54" s="2">
        <f t="shared" si="11"/>
        <v>148612.82257418058</v>
      </c>
      <c r="AT54" s="2">
        <f t="shared" si="31"/>
        <v>423080.07019058778</v>
      </c>
      <c r="AU54" s="2">
        <f t="shared" si="32"/>
        <v>0</v>
      </c>
    </row>
    <row r="55" spans="1:47" x14ac:dyDescent="0.2">
      <c r="A55">
        <f t="shared" si="4"/>
        <v>2000</v>
      </c>
      <c r="B55" s="2">
        <f t="shared" si="41"/>
        <v>82438.678948929693</v>
      </c>
      <c r="C55" s="2"/>
      <c r="D55" s="2">
        <f t="shared" ref="D55:D73" si="43">AO54*(1+(D16/100))</f>
        <v>76479.353032173429</v>
      </c>
      <c r="E55" s="2">
        <f t="shared" ref="E55:E73" si="44">AP54*(1+(E16/100))</f>
        <v>44869.685936997608</v>
      </c>
      <c r="F55" s="2"/>
      <c r="G55" s="2">
        <f t="shared" si="39"/>
        <v>61566.414970281097</v>
      </c>
      <c r="H55" s="2">
        <f t="shared" si="15"/>
        <v>165539.82306537975</v>
      </c>
      <c r="I55" s="2">
        <f t="shared" si="16"/>
        <v>430893.95595376159</v>
      </c>
      <c r="J55" s="2">
        <f t="shared" si="17"/>
        <v>7813.8857631738065</v>
      </c>
      <c r="K55" s="6">
        <f t="shared" si="18"/>
        <v>1.8469047146687463E-2</v>
      </c>
      <c r="L55" s="7">
        <f t="shared" si="19"/>
        <v>1.0184690471466875</v>
      </c>
      <c r="O55">
        <f t="shared" si="20"/>
        <v>2000</v>
      </c>
      <c r="P55" s="6">
        <f t="shared" si="5"/>
        <v>0.1913201097621709</v>
      </c>
      <c r="Q55" s="7"/>
      <c r="R55" s="6">
        <f t="shared" ref="R55:R67" si="45">D55/$I55</f>
        <v>0.17748996470115325</v>
      </c>
      <c r="S55" s="6">
        <f t="shared" ref="S55:S67" si="46">E55/$I55</f>
        <v>0.10413162059254433</v>
      </c>
      <c r="T55" s="7"/>
      <c r="U55" s="6">
        <f t="shared" si="5"/>
        <v>0.14288066499797383</v>
      </c>
      <c r="V55" s="6">
        <f t="shared" si="8"/>
        <v>0.38417763994615767</v>
      </c>
      <c r="W55" s="6">
        <f t="shared" si="21"/>
        <v>1</v>
      </c>
      <c r="X55" s="7">
        <f t="shared" si="22"/>
        <v>0.61582236005384228</v>
      </c>
      <c r="Y55" s="7">
        <f t="shared" si="23"/>
        <v>0</v>
      </c>
      <c r="Z55" s="6"/>
      <c r="AB55">
        <f t="shared" si="24"/>
        <v>2000</v>
      </c>
      <c r="AC55" s="1" t="b">
        <f t="shared" si="25"/>
        <v>1</v>
      </c>
      <c r="AE55" s="1" t="b">
        <f t="shared" ref="AE55:AE75" si="47">AND((D55/$I55)&gt;0.1,(D55/$I55)&lt;0.2)</f>
        <v>1</v>
      </c>
      <c r="AF55" s="1" t="b">
        <f t="shared" ref="AF55:AF67" si="48">AND((E55/$I55)&gt;0.05,(E55/$I55)&lt;0.15)</f>
        <v>1</v>
      </c>
      <c r="AH55" s="1" t="b">
        <f t="shared" si="40"/>
        <v>1</v>
      </c>
      <c r="AI55" s="1" t="b">
        <f t="shared" si="28"/>
        <v>1</v>
      </c>
      <c r="AJ55" s="1" t="b">
        <f t="shared" si="29"/>
        <v>1</v>
      </c>
      <c r="AL55">
        <f t="shared" si="30"/>
        <v>2000</v>
      </c>
      <c r="AM55" s="2">
        <f>B55</f>
        <v>82438.678948929693</v>
      </c>
      <c r="AN55" s="2"/>
      <c r="AO55" s="26">
        <f t="shared" si="42"/>
        <v>76479.353032173429</v>
      </c>
      <c r="AP55" s="26">
        <f t="shared" si="42"/>
        <v>44869.685936997608</v>
      </c>
      <c r="AQ55" s="2"/>
      <c r="AR55" s="2">
        <f t="shared" si="38"/>
        <v>61566.414970281097</v>
      </c>
      <c r="AS55" s="2">
        <f t="shared" si="11"/>
        <v>165539.82306537975</v>
      </c>
      <c r="AT55" s="2">
        <f t="shared" si="31"/>
        <v>430893.95595376159</v>
      </c>
      <c r="AU55" s="2">
        <f t="shared" si="32"/>
        <v>0</v>
      </c>
    </row>
    <row r="56" spans="1:47" x14ac:dyDescent="0.2">
      <c r="A56">
        <f t="shared" si="4"/>
        <v>2001</v>
      </c>
      <c r="B56" s="2">
        <f t="shared" si="41"/>
        <v>72529.549739268346</v>
      </c>
      <c r="C56" s="2"/>
      <c r="D56" s="2">
        <f t="shared" si="43"/>
        <v>76097.721060542885</v>
      </c>
      <c r="E56" s="2">
        <f t="shared" si="44"/>
        <v>46260.646201044532</v>
      </c>
      <c r="F56" s="2"/>
      <c r="G56" s="2">
        <f t="shared" si="39"/>
        <v>49158.935361320349</v>
      </c>
      <c r="H56" s="2">
        <f t="shared" si="15"/>
        <v>179494.83014979126</v>
      </c>
      <c r="I56" s="2">
        <f t="shared" si="16"/>
        <v>423541.68251196737</v>
      </c>
      <c r="J56" s="2">
        <f t="shared" si="17"/>
        <v>-7352.273441794212</v>
      </c>
      <c r="K56" s="6">
        <f t="shared" si="18"/>
        <v>-1.7062837248483408E-2</v>
      </c>
      <c r="L56" s="7">
        <f t="shared" si="19"/>
        <v>0.98293716275151655</v>
      </c>
      <c r="O56">
        <f t="shared" si="20"/>
        <v>2001</v>
      </c>
      <c r="P56" s="6">
        <f t="shared" si="5"/>
        <v>0.17124536435022306</v>
      </c>
      <c r="Q56" s="7"/>
      <c r="R56" s="6">
        <f t="shared" si="45"/>
        <v>0.17966996922054468</v>
      </c>
      <c r="S56" s="6">
        <f t="shared" si="46"/>
        <v>0.10922336126796071</v>
      </c>
      <c r="T56" s="7"/>
      <c r="U56" s="6">
        <f t="shared" si="5"/>
        <v>0.11606634574846442</v>
      </c>
      <c r="V56" s="6">
        <f t="shared" si="8"/>
        <v>0.42379495941280715</v>
      </c>
      <c r="W56" s="6">
        <f t="shared" si="21"/>
        <v>1</v>
      </c>
      <c r="X56" s="7">
        <f t="shared" si="22"/>
        <v>0.57620504058719291</v>
      </c>
      <c r="Y56" s="7">
        <f t="shared" si="23"/>
        <v>0</v>
      </c>
      <c r="Z56" s="6"/>
      <c r="AB56">
        <f t="shared" si="24"/>
        <v>2001</v>
      </c>
      <c r="AC56" s="1" t="b">
        <f t="shared" si="25"/>
        <v>1</v>
      </c>
      <c r="AE56" s="1" t="b">
        <f t="shared" si="47"/>
        <v>1</v>
      </c>
      <c r="AF56" s="1" t="b">
        <f t="shared" si="48"/>
        <v>1</v>
      </c>
      <c r="AH56" s="1" t="b">
        <f t="shared" si="40"/>
        <v>1</v>
      </c>
      <c r="AI56" s="1" t="b">
        <f t="shared" si="28"/>
        <v>1</v>
      </c>
      <c r="AJ56" s="1" t="b">
        <f t="shared" si="29"/>
        <v>1</v>
      </c>
      <c r="AL56">
        <f t="shared" si="30"/>
        <v>2001</v>
      </c>
      <c r="AM56" s="2">
        <f>B56</f>
        <v>72529.549739268346</v>
      </c>
      <c r="AN56" s="2"/>
      <c r="AO56" s="26">
        <f t="shared" si="42"/>
        <v>76097.721060542885</v>
      </c>
      <c r="AP56" s="26">
        <f t="shared" si="42"/>
        <v>46260.646201044532</v>
      </c>
      <c r="AQ56" s="2"/>
      <c r="AR56" s="2">
        <f t="shared" si="38"/>
        <v>49158.935361320349</v>
      </c>
      <c r="AS56" s="2">
        <f t="shared" si="11"/>
        <v>179494.83014979126</v>
      </c>
      <c r="AT56" s="2">
        <f t="shared" si="31"/>
        <v>423541.68251196737</v>
      </c>
      <c r="AU56" s="2">
        <f t="shared" si="32"/>
        <v>0</v>
      </c>
    </row>
    <row r="57" spans="1:47" x14ac:dyDescent="0.2">
      <c r="A57">
        <f t="shared" si="4"/>
        <v>2002</v>
      </c>
      <c r="B57" s="2">
        <f t="shared" si="41"/>
        <v>56464.254472020402</v>
      </c>
      <c r="C57" s="2"/>
      <c r="D57" s="2">
        <f t="shared" si="43"/>
        <v>64981.365968018777</v>
      </c>
      <c r="E57" s="2">
        <f t="shared" si="44"/>
        <v>36998.339618671394</v>
      </c>
      <c r="F57" s="2"/>
      <c r="G57" s="2">
        <f t="shared" si="39"/>
        <v>41744.293140772403</v>
      </c>
      <c r="H57" s="2">
        <f t="shared" si="15"/>
        <v>194321.10312016401</v>
      </c>
      <c r="I57" s="2">
        <f t="shared" si="16"/>
        <v>394509.35631964699</v>
      </c>
      <c r="J57" s="2">
        <f t="shared" si="17"/>
        <v>-29032.326192320383</v>
      </c>
      <c r="K57" s="6">
        <f t="shared" si="18"/>
        <v>-6.854656198212572E-2</v>
      </c>
      <c r="L57" s="7">
        <f t="shared" si="19"/>
        <v>0.93145343801787428</v>
      </c>
      <c r="O57">
        <f t="shared" si="20"/>
        <v>2002</v>
      </c>
      <c r="P57" s="38">
        <f t="shared" si="5"/>
        <v>0.14312526070046067</v>
      </c>
      <c r="Q57" s="7"/>
      <c r="R57" s="6">
        <f t="shared" si="45"/>
        <v>0.16471438491149071</v>
      </c>
      <c r="S57" s="6">
        <f t="shared" si="46"/>
        <v>9.3783174026153854E-2</v>
      </c>
      <c r="T57" s="7"/>
      <c r="U57" s="12">
        <f t="shared" si="5"/>
        <v>0.10581318914766</v>
      </c>
      <c r="V57" s="38">
        <f t="shared" si="8"/>
        <v>0.49256399121423478</v>
      </c>
      <c r="W57" s="6">
        <f t="shared" si="21"/>
        <v>1</v>
      </c>
      <c r="X57" s="7">
        <f t="shared" si="22"/>
        <v>0.50743600878576522</v>
      </c>
      <c r="Y57" s="7">
        <f t="shared" si="23"/>
        <v>0</v>
      </c>
      <c r="Z57" s="6"/>
      <c r="AB57">
        <f t="shared" si="24"/>
        <v>2002</v>
      </c>
      <c r="AC57" s="39" t="b">
        <f t="shared" si="25"/>
        <v>0</v>
      </c>
      <c r="AE57" s="1" t="b">
        <f t="shared" si="47"/>
        <v>1</v>
      </c>
      <c r="AF57" s="1" t="b">
        <f t="shared" si="48"/>
        <v>1</v>
      </c>
      <c r="AH57" s="1" t="b">
        <f t="shared" si="40"/>
        <v>1</v>
      </c>
      <c r="AI57" s="39" t="b">
        <f t="shared" si="28"/>
        <v>0</v>
      </c>
      <c r="AJ57" s="1" t="b">
        <f t="shared" si="29"/>
        <v>1</v>
      </c>
      <c r="AL57">
        <f t="shared" si="30"/>
        <v>2002</v>
      </c>
      <c r="AM57" s="40">
        <f>AM$42*$AT57</f>
        <v>78901.87126392941</v>
      </c>
      <c r="AN57" s="2"/>
      <c r="AO57" s="40">
        <f>AO$42*$AT57</f>
        <v>59176.403447947043</v>
      </c>
      <c r="AP57" s="40">
        <f>AP$42*$AT57</f>
        <v>39450.935631964705</v>
      </c>
      <c r="AQ57" s="2"/>
      <c r="AR57" s="40">
        <f>AR$42*$AT57</f>
        <v>59176.403447947043</v>
      </c>
      <c r="AS57" s="40">
        <f>AS$42*$AT57</f>
        <v>157803.74252785882</v>
      </c>
      <c r="AT57" s="2">
        <f t="shared" si="31"/>
        <v>394509.35631964699</v>
      </c>
      <c r="AU57" s="2">
        <f t="shared" si="32"/>
        <v>0</v>
      </c>
    </row>
    <row r="58" spans="1:47" x14ac:dyDescent="0.2">
      <c r="A58">
        <f t="shared" si="4"/>
        <v>2003</v>
      </c>
      <c r="B58" s="2">
        <f t="shared" si="41"/>
        <v>101388.90457414929</v>
      </c>
      <c r="C58" s="2"/>
      <c r="D58" s="2">
        <f t="shared" si="43"/>
        <v>79380.411113145121</v>
      </c>
      <c r="E58" s="2">
        <f t="shared" si="44"/>
        <v>57451.608542117559</v>
      </c>
      <c r="F58" s="2"/>
      <c r="G58" s="2">
        <f t="shared" si="39"/>
        <v>83048.164598848874</v>
      </c>
      <c r="H58" s="2">
        <f t="shared" si="15"/>
        <v>164068.55110621481</v>
      </c>
      <c r="I58" s="2">
        <f t="shared" si="16"/>
        <v>485337.63993447565</v>
      </c>
      <c r="J58" s="2">
        <f t="shared" si="17"/>
        <v>90828.283614828659</v>
      </c>
      <c r="K58" s="6">
        <f t="shared" si="18"/>
        <v>0.23023100000000002</v>
      </c>
      <c r="L58" s="7">
        <f t="shared" si="19"/>
        <v>1.2302310000000001</v>
      </c>
      <c r="O58">
        <f t="shared" si="20"/>
        <v>2003</v>
      </c>
      <c r="P58" s="6">
        <f t="shared" si="5"/>
        <v>0.20890385626764407</v>
      </c>
      <c r="Q58" s="7"/>
      <c r="R58" s="6">
        <f t="shared" si="45"/>
        <v>0.16355708805907182</v>
      </c>
      <c r="S58" s="6">
        <f t="shared" si="46"/>
        <v>0.11837451665581505</v>
      </c>
      <c r="T58" s="7"/>
      <c r="U58" s="6">
        <f t="shared" si="5"/>
        <v>0.17111420538094063</v>
      </c>
      <c r="V58" s="38">
        <f t="shared" si="8"/>
        <v>0.33805033363652848</v>
      </c>
      <c r="W58" s="6">
        <f t="shared" si="21"/>
        <v>1</v>
      </c>
      <c r="X58" s="7">
        <f t="shared" si="22"/>
        <v>0.66194966636347163</v>
      </c>
      <c r="Y58" s="7">
        <f t="shared" si="23"/>
        <v>0</v>
      </c>
      <c r="Z58" s="6"/>
      <c r="AB58">
        <f t="shared" si="24"/>
        <v>2003</v>
      </c>
      <c r="AC58" s="1" t="b">
        <f t="shared" si="25"/>
        <v>1</v>
      </c>
      <c r="AE58" s="1" t="b">
        <f t="shared" si="47"/>
        <v>1</v>
      </c>
      <c r="AF58" s="1" t="b">
        <f t="shared" si="48"/>
        <v>1</v>
      </c>
      <c r="AH58" s="1" t="b">
        <f t="shared" si="40"/>
        <v>1</v>
      </c>
      <c r="AI58" s="39" t="b">
        <f t="shared" si="28"/>
        <v>0</v>
      </c>
      <c r="AJ58" s="1" t="b">
        <f t="shared" si="29"/>
        <v>1</v>
      </c>
      <c r="AL58">
        <f t="shared" si="30"/>
        <v>2003</v>
      </c>
      <c r="AM58" s="40">
        <f>AM$42*$AT58</f>
        <v>97067.527986895133</v>
      </c>
      <c r="AN58" s="2"/>
      <c r="AO58" s="40">
        <f>AO$42*$AT58</f>
        <v>72800.645990171339</v>
      </c>
      <c r="AP58" s="40">
        <f>AP$42*$AT58</f>
        <v>48533.763993447566</v>
      </c>
      <c r="AQ58" s="2"/>
      <c r="AR58" s="40">
        <f>AR$42*$AT58</f>
        <v>72800.645990171339</v>
      </c>
      <c r="AS58" s="40">
        <f>AS$42*$AT58</f>
        <v>194135.05597379027</v>
      </c>
      <c r="AT58" s="2">
        <f t="shared" si="31"/>
        <v>485337.63993447565</v>
      </c>
      <c r="AU58" s="2">
        <f t="shared" si="32"/>
        <v>0</v>
      </c>
    </row>
    <row r="59" spans="1:47" x14ac:dyDescent="0.2">
      <c r="A59">
        <f t="shared" si="4"/>
        <v>2004</v>
      </c>
      <c r="B59" s="2">
        <f t="shared" si="41"/>
        <v>107492.58049268766</v>
      </c>
      <c r="C59" s="2"/>
      <c r="D59" s="2">
        <f t="shared" si="43"/>
        <v>87617.761468550903</v>
      </c>
      <c r="E59" s="2">
        <f t="shared" si="44"/>
        <v>58190.52701522383</v>
      </c>
      <c r="F59" s="2"/>
      <c r="G59" s="2">
        <f t="shared" si="39"/>
        <v>87970.116595143336</v>
      </c>
      <c r="H59" s="2">
        <f t="shared" si="15"/>
        <v>202366.38234707896</v>
      </c>
      <c r="I59" s="2">
        <f t="shared" si="16"/>
        <v>543637.36791868473</v>
      </c>
      <c r="J59" s="2">
        <f>I59-I58</f>
        <v>58299.727984209079</v>
      </c>
      <c r="K59" s="6">
        <f>(J59/I58)</f>
        <v>0.12012199999999999</v>
      </c>
      <c r="L59" s="7">
        <f t="shared" si="19"/>
        <v>1.1201220000000001</v>
      </c>
      <c r="O59">
        <f t="shared" si="20"/>
        <v>2004</v>
      </c>
      <c r="P59" s="6">
        <f t="shared" si="5"/>
        <v>0.19772846172113392</v>
      </c>
      <c r="Q59" s="7"/>
      <c r="R59" s="6">
        <f t="shared" si="45"/>
        <v>0.16116949760829621</v>
      </c>
      <c r="S59" s="6">
        <f t="shared" si="46"/>
        <v>0.1070392332263807</v>
      </c>
      <c r="T59" s="7"/>
      <c r="U59" s="6">
        <f t="shared" si="5"/>
        <v>0.16181764129264489</v>
      </c>
      <c r="V59" s="6">
        <f t="shared" si="8"/>
        <v>0.37224516615154418</v>
      </c>
      <c r="W59" s="6">
        <f t="shared" si="21"/>
        <v>1</v>
      </c>
      <c r="X59" s="7">
        <f t="shared" si="22"/>
        <v>0.62775483384845576</v>
      </c>
      <c r="Y59" s="7">
        <f t="shared" si="23"/>
        <v>0</v>
      </c>
      <c r="Z59" s="6"/>
      <c r="AB59">
        <f t="shared" si="24"/>
        <v>2004</v>
      </c>
      <c r="AC59" s="1" t="b">
        <f t="shared" si="25"/>
        <v>1</v>
      </c>
      <c r="AE59" s="1" t="b">
        <f t="shared" si="47"/>
        <v>1</v>
      </c>
      <c r="AF59" s="1" t="b">
        <f t="shared" si="48"/>
        <v>1</v>
      </c>
      <c r="AH59" s="1" t="b">
        <f t="shared" si="40"/>
        <v>1</v>
      </c>
      <c r="AI59" s="1" t="b">
        <f t="shared" si="28"/>
        <v>1</v>
      </c>
      <c r="AJ59" s="1" t="b">
        <f t="shared" si="29"/>
        <v>1</v>
      </c>
      <c r="AL59">
        <f t="shared" si="30"/>
        <v>2004</v>
      </c>
      <c r="AM59" s="2">
        <f>B59</f>
        <v>107492.58049268766</v>
      </c>
      <c r="AN59" s="2"/>
      <c r="AO59" s="26">
        <f>D59</f>
        <v>87617.761468550903</v>
      </c>
      <c r="AP59" s="26">
        <f>E59</f>
        <v>58190.52701522383</v>
      </c>
      <c r="AQ59" s="2"/>
      <c r="AR59" s="2">
        <f t="shared" si="38"/>
        <v>87970.116595143336</v>
      </c>
      <c r="AS59" s="2">
        <f t="shared" si="11"/>
        <v>202366.38234707896</v>
      </c>
      <c r="AT59" s="2">
        <f t="shared" si="31"/>
        <v>543637.36791868473</v>
      </c>
      <c r="AU59" s="2">
        <f t="shared" si="32"/>
        <v>0</v>
      </c>
    </row>
    <row r="60" spans="1:47" x14ac:dyDescent="0.2">
      <c r="A60">
        <f t="shared" si="4"/>
        <v>2005</v>
      </c>
      <c r="B60" s="2">
        <f t="shared" si="41"/>
        <v>112619.97658218887</v>
      </c>
      <c r="C60" s="2"/>
      <c r="D60" s="2">
        <f t="shared" si="43"/>
        <v>99823.791818734739</v>
      </c>
      <c r="E60" s="2">
        <f t="shared" si="44"/>
        <v>62475.095519354763</v>
      </c>
      <c r="F60" s="2"/>
      <c r="G60" s="2">
        <f t="shared" si="39"/>
        <v>101667.9434501731</v>
      </c>
      <c r="H60" s="2">
        <f t="shared" si="15"/>
        <v>207223.17552340886</v>
      </c>
      <c r="I60" s="2">
        <f t="shared" si="16"/>
        <v>583809.98289386043</v>
      </c>
      <c r="J60" s="2">
        <f t="shared" si="17"/>
        <v>40172.614975175704</v>
      </c>
      <c r="K60" s="6">
        <f t="shared" si="18"/>
        <v>7.3895977991683195E-2</v>
      </c>
      <c r="L60" s="7">
        <f t="shared" si="19"/>
        <v>1.0738959779916832</v>
      </c>
      <c r="O60">
        <f t="shared" si="20"/>
        <v>2005</v>
      </c>
      <c r="P60" s="6">
        <f t="shared" si="5"/>
        <v>0.19290519155556088</v>
      </c>
      <c r="Q60" s="7"/>
      <c r="R60" s="6">
        <f t="shared" si="45"/>
        <v>0.17098678464510464</v>
      </c>
      <c r="S60" s="6">
        <f t="shared" si="46"/>
        <v>0.10701272220402069</v>
      </c>
      <c r="T60" s="7"/>
      <c r="U60" s="6">
        <f t="shared" si="5"/>
        <v>0.1741456063259145</v>
      </c>
      <c r="V60" s="6">
        <f t="shared" si="8"/>
        <v>0.35494969526939912</v>
      </c>
      <c r="W60" s="6">
        <f t="shared" si="21"/>
        <v>0.99999999999999978</v>
      </c>
      <c r="X60" s="7">
        <f t="shared" si="22"/>
        <v>0.64505030473060065</v>
      </c>
      <c r="Y60" s="7">
        <f t="shared" si="23"/>
        <v>0</v>
      </c>
      <c r="Z60" s="6"/>
      <c r="AB60">
        <f t="shared" si="24"/>
        <v>2005</v>
      </c>
      <c r="AC60" s="1" t="b">
        <f t="shared" si="25"/>
        <v>1</v>
      </c>
      <c r="AE60" s="1" t="b">
        <f t="shared" si="47"/>
        <v>1</v>
      </c>
      <c r="AF60" s="1" t="b">
        <f t="shared" si="48"/>
        <v>1</v>
      </c>
      <c r="AH60" s="1" t="b">
        <f t="shared" si="40"/>
        <v>1</v>
      </c>
      <c r="AI60" s="1" t="b">
        <f t="shared" si="28"/>
        <v>1</v>
      </c>
      <c r="AJ60" s="1" t="b">
        <f t="shared" si="29"/>
        <v>1</v>
      </c>
      <c r="AL60">
        <f t="shared" si="30"/>
        <v>2005</v>
      </c>
      <c r="AM60" s="2">
        <f>B60</f>
        <v>112619.97658218887</v>
      </c>
      <c r="AN60" s="2"/>
      <c r="AO60" s="26">
        <f>D60</f>
        <v>99823.791818734739</v>
      </c>
      <c r="AP60" s="26">
        <f>E60</f>
        <v>62475.095519354763</v>
      </c>
      <c r="AQ60" s="2"/>
      <c r="AR60" s="2">
        <f t="shared" si="38"/>
        <v>101667.9434501731</v>
      </c>
      <c r="AS60" s="2">
        <f t="shared" si="11"/>
        <v>207223.17552340886</v>
      </c>
      <c r="AT60" s="2">
        <f t="shared" si="31"/>
        <v>583809.98289386043</v>
      </c>
      <c r="AU60" s="2">
        <f t="shared" si="32"/>
        <v>0</v>
      </c>
    </row>
    <row r="61" spans="1:47" x14ac:dyDescent="0.2">
      <c r="A61">
        <f t="shared" si="4"/>
        <v>2006</v>
      </c>
      <c r="B61" s="2">
        <f t="shared" si="41"/>
        <v>130233.74091964323</v>
      </c>
      <c r="C61" s="2"/>
      <c r="D61" s="2">
        <f t="shared" si="43"/>
        <v>113396.83279232809</v>
      </c>
      <c r="E61" s="2">
        <f t="shared" si="44"/>
        <v>72256.19647386494</v>
      </c>
      <c r="F61" s="2"/>
      <c r="G61" s="2">
        <f t="shared" si="39"/>
        <v>128749.2335469957</v>
      </c>
      <c r="H61" s="2">
        <f t="shared" si="15"/>
        <v>216071.60511825842</v>
      </c>
      <c r="I61" s="2">
        <f t="shared" si="16"/>
        <v>660707.60885109031</v>
      </c>
      <c r="J61" s="2">
        <f t="shared" si="17"/>
        <v>76897.625957229873</v>
      </c>
      <c r="K61" s="6">
        <f t="shared" si="18"/>
        <v>0.13171687400078297</v>
      </c>
      <c r="L61" s="7">
        <f t="shared" si="19"/>
        <v>1.131716874000783</v>
      </c>
      <c r="O61">
        <f t="shared" si="20"/>
        <v>2006</v>
      </c>
      <c r="P61" s="6">
        <f t="shared" si="5"/>
        <v>0.19711251872232516</v>
      </c>
      <c r="Q61" s="7"/>
      <c r="R61" s="6">
        <f t="shared" si="45"/>
        <v>0.17162937322534358</v>
      </c>
      <c r="S61" s="6">
        <f t="shared" si="46"/>
        <v>0.10936183495678491</v>
      </c>
      <c r="T61" s="7"/>
      <c r="U61" s="6">
        <f t="shared" si="5"/>
        <v>0.19486567404737287</v>
      </c>
      <c r="V61" s="38">
        <f t="shared" si="8"/>
        <v>0.32703059904817361</v>
      </c>
      <c r="W61" s="6">
        <f t="shared" si="21"/>
        <v>1.0000000000000002</v>
      </c>
      <c r="X61" s="7">
        <f t="shared" si="22"/>
        <v>0.67296940095182656</v>
      </c>
      <c r="Y61" s="7">
        <f t="shared" si="23"/>
        <v>0</v>
      </c>
      <c r="Z61" s="6"/>
      <c r="AB61">
        <f t="shared" si="24"/>
        <v>2006</v>
      </c>
      <c r="AC61" s="1" t="b">
        <f t="shared" si="25"/>
        <v>1</v>
      </c>
      <c r="AE61" s="1" t="b">
        <f t="shared" si="47"/>
        <v>1</v>
      </c>
      <c r="AF61" s="1" t="b">
        <f t="shared" si="48"/>
        <v>1</v>
      </c>
      <c r="AH61" s="1" t="b">
        <f t="shared" si="40"/>
        <v>1</v>
      </c>
      <c r="AI61" s="39" t="b">
        <f t="shared" si="28"/>
        <v>0</v>
      </c>
      <c r="AJ61" s="1" t="b">
        <f t="shared" si="29"/>
        <v>1</v>
      </c>
      <c r="AL61">
        <f t="shared" si="30"/>
        <v>2006</v>
      </c>
      <c r="AM61" s="40">
        <f>AM$42*$AT61</f>
        <v>132141.52177021807</v>
      </c>
      <c r="AN61" s="2"/>
      <c r="AO61" s="40">
        <f>AO$42*$AT61</f>
        <v>99106.141327663543</v>
      </c>
      <c r="AP61" s="40">
        <f>AP$42*$AT61</f>
        <v>66070.760885109034</v>
      </c>
      <c r="AQ61" s="2"/>
      <c r="AR61" s="40">
        <f>AR$42*$AT61</f>
        <v>99106.141327663543</v>
      </c>
      <c r="AS61" s="40">
        <f>AS$42*$AT61</f>
        <v>264283.04354043613</v>
      </c>
      <c r="AT61" s="2">
        <f t="shared" si="31"/>
        <v>660707.60885109031</v>
      </c>
      <c r="AU61" s="2">
        <f t="shared" si="32"/>
        <v>0</v>
      </c>
    </row>
    <row r="62" spans="1:47" x14ac:dyDescent="0.2">
      <c r="A62">
        <f t="shared" si="4"/>
        <v>2007</v>
      </c>
      <c r="B62" s="2">
        <f t="shared" si="41"/>
        <v>139263.94979363284</v>
      </c>
      <c r="C62" s="2"/>
      <c r="D62" s="2">
        <f t="shared" si="43"/>
        <v>105073.32209700218</v>
      </c>
      <c r="E62" s="2">
        <f t="shared" si="44"/>
        <v>66834.538880940891</v>
      </c>
      <c r="F62" s="2"/>
      <c r="G62" s="2">
        <f t="shared" si="39"/>
        <v>114489.39658454347</v>
      </c>
      <c r="H62" s="2">
        <f t="shared" si="15"/>
        <v>282571.43015343428</v>
      </c>
      <c r="I62" s="2">
        <f t="shared" si="16"/>
        <v>708232.63750955369</v>
      </c>
      <c r="J62" s="2">
        <f t="shared" si="17"/>
        <v>47525.028658463387</v>
      </c>
      <c r="K62" s="6">
        <f t="shared" si="18"/>
        <v>7.193050000000005E-2</v>
      </c>
      <c r="L62" s="7">
        <f t="shared" si="19"/>
        <v>1.0719305000000001</v>
      </c>
      <c r="O62">
        <f t="shared" si="20"/>
        <v>2007</v>
      </c>
      <c r="P62" s="6">
        <f t="shared" si="5"/>
        <v>0.19663588264351095</v>
      </c>
      <c r="Q62" s="7"/>
      <c r="R62" s="6">
        <f t="shared" si="45"/>
        <v>0.14835989833296095</v>
      </c>
      <c r="S62" s="6">
        <f t="shared" si="46"/>
        <v>9.4368058376919015E-2</v>
      </c>
      <c r="T62" s="7"/>
      <c r="U62" s="6">
        <f t="shared" si="5"/>
        <v>0.16165506998821283</v>
      </c>
      <c r="V62" s="6">
        <f t="shared" si="8"/>
        <v>0.39898109065839615</v>
      </c>
      <c r="W62" s="6">
        <f t="shared" si="21"/>
        <v>0.99999999999999989</v>
      </c>
      <c r="X62" s="7">
        <f t="shared" si="22"/>
        <v>0.60101890934160374</v>
      </c>
      <c r="Y62" s="7">
        <f t="shared" si="23"/>
        <v>0</v>
      </c>
      <c r="Z62" s="6"/>
      <c r="AA62" s="7">
        <f>SUM(P62:U62)</f>
        <v>0.60101890934160374</v>
      </c>
      <c r="AB62">
        <f t="shared" si="24"/>
        <v>2007</v>
      </c>
      <c r="AC62" s="1" t="b">
        <f t="shared" si="25"/>
        <v>1</v>
      </c>
      <c r="AE62" s="1" t="b">
        <f t="shared" si="47"/>
        <v>1</v>
      </c>
      <c r="AF62" s="1" t="b">
        <f t="shared" si="48"/>
        <v>1</v>
      </c>
      <c r="AH62" s="1" t="b">
        <f t="shared" si="40"/>
        <v>1</v>
      </c>
      <c r="AI62" s="1" t="b">
        <f t="shared" si="28"/>
        <v>1</v>
      </c>
      <c r="AJ62" s="1" t="b">
        <f t="shared" si="29"/>
        <v>1</v>
      </c>
      <c r="AL62">
        <f t="shared" si="30"/>
        <v>2007</v>
      </c>
      <c r="AM62" s="2">
        <f>B62</f>
        <v>139263.94979363284</v>
      </c>
      <c r="AN62" s="2"/>
      <c r="AO62" s="26">
        <f>D62</f>
        <v>105073.32209700218</v>
      </c>
      <c r="AP62" s="26">
        <f>E62</f>
        <v>66834.538880940891</v>
      </c>
      <c r="AQ62" s="2"/>
      <c r="AR62" s="2">
        <f t="shared" si="38"/>
        <v>114489.39658454347</v>
      </c>
      <c r="AS62" s="2">
        <f t="shared" si="11"/>
        <v>282571.43015343428</v>
      </c>
      <c r="AT62" s="2">
        <f t="shared" si="31"/>
        <v>708232.63750955369</v>
      </c>
      <c r="AU62" s="2">
        <f t="shared" si="32"/>
        <v>0</v>
      </c>
    </row>
    <row r="63" spans="1:47" x14ac:dyDescent="0.2">
      <c r="A63">
        <f t="shared" si="4"/>
        <v>2008</v>
      </c>
      <c r="B63" s="2">
        <f t="shared" si="41"/>
        <v>87708.435580029953</v>
      </c>
      <c r="C63" s="2"/>
      <c r="D63" s="2">
        <f t="shared" si="43"/>
        <v>61127.45586315199</v>
      </c>
      <c r="E63" s="2">
        <f t="shared" si="44"/>
        <v>42727.320706585509</v>
      </c>
      <c r="F63" s="2"/>
      <c r="G63" s="2">
        <f t="shared" si="39"/>
        <v>63998.427796793956</v>
      </c>
      <c r="H63" s="2">
        <f t="shared" si="15"/>
        <v>296841.28737618274</v>
      </c>
      <c r="I63" s="2">
        <f t="shared" si="16"/>
        <v>552402.92732274416</v>
      </c>
      <c r="J63" s="2">
        <f t="shared" si="17"/>
        <v>-155829.71018680953</v>
      </c>
      <c r="K63" s="6">
        <f t="shared" si="18"/>
        <v>-0.22002616362721278</v>
      </c>
      <c r="L63" s="7">
        <f t="shared" si="19"/>
        <v>0.77997383637278728</v>
      </c>
      <c r="O63">
        <f t="shared" si="20"/>
        <v>2008</v>
      </c>
      <c r="P63" s="6">
        <f t="shared" si="5"/>
        <v>0.15877619621806577</v>
      </c>
      <c r="Q63" s="7"/>
      <c r="R63" s="6">
        <f t="shared" si="45"/>
        <v>0.11065737134922525</v>
      </c>
      <c r="S63" s="6">
        <f t="shared" si="46"/>
        <v>7.734810695820564E-2</v>
      </c>
      <c r="T63" s="7"/>
      <c r="U63" s="6">
        <f t="shared" si="5"/>
        <v>0.11585461378158583</v>
      </c>
      <c r="V63" s="38">
        <f t="shared" si="8"/>
        <v>0.53736371169291752</v>
      </c>
      <c r="W63" s="6">
        <f t="shared" si="21"/>
        <v>1</v>
      </c>
      <c r="X63" s="7">
        <f t="shared" si="22"/>
        <v>0.46263628830708253</v>
      </c>
      <c r="Y63" s="7">
        <f t="shared" si="23"/>
        <v>0</v>
      </c>
      <c r="Z63" s="6"/>
      <c r="AB63">
        <f t="shared" si="24"/>
        <v>2008</v>
      </c>
      <c r="AC63" s="1" t="b">
        <f t="shared" si="25"/>
        <v>1</v>
      </c>
      <c r="AE63" s="1" t="b">
        <f t="shared" si="47"/>
        <v>1</v>
      </c>
      <c r="AF63" s="1" t="b">
        <f t="shared" si="48"/>
        <v>1</v>
      </c>
      <c r="AH63" s="1" t="b">
        <f t="shared" si="40"/>
        <v>1</v>
      </c>
      <c r="AI63" s="39" t="b">
        <f t="shared" si="28"/>
        <v>0</v>
      </c>
      <c r="AJ63" s="1" t="b">
        <f t="shared" si="29"/>
        <v>1</v>
      </c>
      <c r="AL63">
        <f t="shared" si="30"/>
        <v>2008</v>
      </c>
      <c r="AM63" s="40">
        <f>AM$42*$AT63</f>
        <v>110480.58546454884</v>
      </c>
      <c r="AN63" s="2"/>
      <c r="AO63" s="40">
        <f>AO$42*$AT63</f>
        <v>82860.439098411618</v>
      </c>
      <c r="AP63" s="40">
        <f>AP$42*$AT63</f>
        <v>55240.292732274422</v>
      </c>
      <c r="AQ63" s="2"/>
      <c r="AR63" s="40">
        <f>AR$42*$AT63</f>
        <v>82860.439098411618</v>
      </c>
      <c r="AS63" s="40">
        <f>AS$42*$AT63</f>
        <v>220961.17092909769</v>
      </c>
      <c r="AT63" s="2">
        <f t="shared" si="31"/>
        <v>552402.92732274416</v>
      </c>
      <c r="AU63" s="2">
        <f t="shared" si="32"/>
        <v>0</v>
      </c>
    </row>
    <row r="64" spans="1:47" x14ac:dyDescent="0.2">
      <c r="A64">
        <f t="shared" si="4"/>
        <v>2009</v>
      </c>
      <c r="B64" s="2">
        <f t="shared" si="41"/>
        <v>139746.89255410782</v>
      </c>
      <c r="C64" s="2"/>
      <c r="D64" s="2">
        <f t="shared" si="43"/>
        <v>116185.2504950108</v>
      </c>
      <c r="E64" s="2">
        <f t="shared" si="44"/>
        <v>75191.981661317302</v>
      </c>
      <c r="F64" s="2"/>
      <c r="G64" s="2">
        <f t="shared" si="39"/>
        <v>113292.59256608525</v>
      </c>
      <c r="H64" s="2">
        <f t="shared" si="15"/>
        <v>234064.16836519315</v>
      </c>
      <c r="I64" s="2">
        <f t="shared" si="16"/>
        <v>678480.88564171433</v>
      </c>
      <c r="J64" s="2">
        <f t="shared" si="17"/>
        <v>126077.95831897017</v>
      </c>
      <c r="K64" s="6">
        <f t="shared" si="18"/>
        <v>0.22823549999999998</v>
      </c>
      <c r="L64" s="7">
        <f t="shared" si="19"/>
        <v>1.2282355</v>
      </c>
      <c r="O64">
        <f t="shared" si="20"/>
        <v>2009</v>
      </c>
      <c r="P64" s="6">
        <f t="shared" si="5"/>
        <v>0.20597027198774176</v>
      </c>
      <c r="Q64" s="7"/>
      <c r="R64" s="6">
        <f t="shared" si="45"/>
        <v>0.17124321842187429</v>
      </c>
      <c r="S64" s="6">
        <f t="shared" si="46"/>
        <v>0.11082402356877001</v>
      </c>
      <c r="T64" s="7"/>
      <c r="U64" s="6">
        <f t="shared" si="5"/>
        <v>0.16697978522848428</v>
      </c>
      <c r="V64" s="38">
        <f t="shared" si="8"/>
        <v>0.34498270079312965</v>
      </c>
      <c r="W64" s="6">
        <f t="shared" si="21"/>
        <v>1</v>
      </c>
      <c r="X64" s="7">
        <f t="shared" si="22"/>
        <v>0.65501729920687035</v>
      </c>
      <c r="Y64" s="7">
        <f t="shared" si="23"/>
        <v>0</v>
      </c>
      <c r="Z64" s="6"/>
      <c r="AB64">
        <f t="shared" si="24"/>
        <v>2009</v>
      </c>
      <c r="AC64" s="1" t="b">
        <f t="shared" si="25"/>
        <v>1</v>
      </c>
      <c r="AE64" s="1" t="b">
        <f t="shared" si="47"/>
        <v>1</v>
      </c>
      <c r="AF64" s="1" t="b">
        <f t="shared" si="48"/>
        <v>1</v>
      </c>
      <c r="AH64" s="1" t="b">
        <f t="shared" si="40"/>
        <v>1</v>
      </c>
      <c r="AI64" s="39" t="b">
        <f t="shared" si="28"/>
        <v>0</v>
      </c>
      <c r="AJ64" s="1" t="b">
        <f t="shared" si="29"/>
        <v>1</v>
      </c>
      <c r="AL64">
        <f t="shared" si="30"/>
        <v>2009</v>
      </c>
      <c r="AM64" s="40">
        <f>AM$42*$AT64</f>
        <v>135696.17712834288</v>
      </c>
      <c r="AN64" s="2"/>
      <c r="AO64" s="40">
        <f>AO$42*$AT64</f>
        <v>101772.13284625714</v>
      </c>
      <c r="AP64" s="40">
        <f>AP$42*$AT64</f>
        <v>67848.088564171441</v>
      </c>
      <c r="AQ64" s="2"/>
      <c r="AR64" s="40">
        <f>AR$42*$AT64</f>
        <v>101772.13284625714</v>
      </c>
      <c r="AS64" s="40">
        <f>AS$42*$AT64</f>
        <v>271392.35425668576</v>
      </c>
      <c r="AT64" s="2">
        <f t="shared" si="31"/>
        <v>678480.88564171433</v>
      </c>
      <c r="AU64" s="2">
        <f t="shared" si="32"/>
        <v>0</v>
      </c>
    </row>
    <row r="65" spans="1:48" x14ac:dyDescent="0.2">
      <c r="A65">
        <f t="shared" si="4"/>
        <v>2010</v>
      </c>
      <c r="B65" s="2">
        <f t="shared" si="41"/>
        <v>155928.4771381788</v>
      </c>
      <c r="C65" s="2"/>
      <c r="D65" s="2">
        <f t="shared" si="43"/>
        <v>127683.31786891421</v>
      </c>
      <c r="E65" s="2">
        <f t="shared" si="44"/>
        <v>86655.578714159768</v>
      </c>
      <c r="F65" s="2"/>
      <c r="G65" s="2">
        <f t="shared" si="39"/>
        <v>113089.19401876093</v>
      </c>
      <c r="H65" s="2">
        <f t="shared" si="15"/>
        <v>288815.74339996499</v>
      </c>
      <c r="I65" s="2">
        <f t="shared" si="16"/>
        <v>772172.3111399787</v>
      </c>
      <c r="J65" s="2">
        <f t="shared" si="17"/>
        <v>93691.425498264376</v>
      </c>
      <c r="K65" s="6">
        <f t="shared" si="18"/>
        <v>0.13809000000000007</v>
      </c>
      <c r="L65" s="7">
        <f t="shared" si="19"/>
        <v>1.13809</v>
      </c>
      <c r="O65">
        <f t="shared" si="20"/>
        <v>2010</v>
      </c>
      <c r="P65" s="6">
        <f t="shared" si="5"/>
        <v>0.20193482062051332</v>
      </c>
      <c r="Q65" s="7"/>
      <c r="R65" s="6">
        <f t="shared" si="45"/>
        <v>0.16535599117820204</v>
      </c>
      <c r="S65" s="6">
        <f t="shared" si="46"/>
        <v>0.11222311065030008</v>
      </c>
      <c r="T65" s="7"/>
      <c r="U65" s="6">
        <f t="shared" si="5"/>
        <v>0.14645590419035398</v>
      </c>
      <c r="V65" s="59">
        <f t="shared" si="8"/>
        <v>0.37403017336063055</v>
      </c>
      <c r="W65" s="6">
        <f t="shared" si="21"/>
        <v>1</v>
      </c>
      <c r="X65" s="7">
        <f t="shared" si="22"/>
        <v>0.6259698266393694</v>
      </c>
      <c r="Y65" s="7">
        <f t="shared" si="23"/>
        <v>0</v>
      </c>
      <c r="Z65" s="6"/>
      <c r="AB65">
        <f t="shared" si="24"/>
        <v>2010</v>
      </c>
      <c r="AC65" s="1" t="b">
        <f t="shared" si="25"/>
        <v>1</v>
      </c>
      <c r="AE65" s="1" t="b">
        <f t="shared" si="47"/>
        <v>1</v>
      </c>
      <c r="AF65" s="1" t="b">
        <f t="shared" si="48"/>
        <v>1</v>
      </c>
      <c r="AH65" s="1" t="b">
        <f t="shared" si="40"/>
        <v>1</v>
      </c>
      <c r="AI65" s="1" t="b">
        <f t="shared" si="28"/>
        <v>1</v>
      </c>
      <c r="AJ65" s="1" t="b">
        <f t="shared" si="29"/>
        <v>1</v>
      </c>
      <c r="AL65">
        <f t="shared" si="30"/>
        <v>2010</v>
      </c>
      <c r="AM65" s="2">
        <f>B65</f>
        <v>155928.4771381788</v>
      </c>
      <c r="AN65" s="2"/>
      <c r="AO65" s="26">
        <f t="shared" ref="AO65:AP67" si="49">D65</f>
        <v>127683.31786891421</v>
      </c>
      <c r="AP65" s="26">
        <f t="shared" si="49"/>
        <v>86655.578714159768</v>
      </c>
      <c r="AQ65" s="2"/>
      <c r="AR65" s="2">
        <f t="shared" ref="AR65" si="50">G65</f>
        <v>113089.19401876093</v>
      </c>
      <c r="AS65" s="2">
        <f t="shared" ref="AS65" si="51">H65</f>
        <v>288815.74339996499</v>
      </c>
      <c r="AT65" s="2">
        <f t="shared" si="31"/>
        <v>772172.3111399787</v>
      </c>
      <c r="AU65" s="2">
        <f t="shared" si="32"/>
        <v>0</v>
      </c>
    </row>
    <row r="66" spans="1:48" x14ac:dyDescent="0.2">
      <c r="A66">
        <f t="shared" si="4"/>
        <v>2011</v>
      </c>
      <c r="B66" s="2">
        <f t="shared" si="41"/>
        <v>159000.26813780094</v>
      </c>
      <c r="C66" s="2"/>
      <c r="D66" s="2">
        <f t="shared" si="43"/>
        <v>124989.19986188012</v>
      </c>
      <c r="E66" s="2">
        <f t="shared" si="44"/>
        <v>84229.222510163294</v>
      </c>
      <c r="F66" s="2"/>
      <c r="G66" s="2">
        <f t="shared" si="39"/>
        <v>96623.407369629349</v>
      </c>
      <c r="H66" s="2">
        <f t="shared" si="15"/>
        <v>310650.21360100235</v>
      </c>
      <c r="I66" s="2">
        <f t="shared" si="16"/>
        <v>775492.31148047606</v>
      </c>
      <c r="J66" s="2">
        <f t="shared" si="17"/>
        <v>3320.000340497354</v>
      </c>
      <c r="K66" s="6">
        <f t="shared" si="18"/>
        <v>4.2995589101038189E-3</v>
      </c>
      <c r="L66" s="7">
        <f t="shared" si="19"/>
        <v>1.0042995589101038</v>
      </c>
      <c r="O66">
        <f t="shared" si="20"/>
        <v>2011</v>
      </c>
      <c r="P66" s="6">
        <f t="shared" si="5"/>
        <v>0.20503139203824841</v>
      </c>
      <c r="Q66" s="7"/>
      <c r="R66" s="6">
        <f t="shared" si="45"/>
        <v>0.16117400264519174</v>
      </c>
      <c r="S66" s="6">
        <f t="shared" si="46"/>
        <v>0.10861387181178245</v>
      </c>
      <c r="T66" s="7"/>
      <c r="U66" s="6">
        <f t="shared" si="5"/>
        <v>0.12459621577055695</v>
      </c>
      <c r="V66" s="6">
        <f t="shared" si="8"/>
        <v>0.40058451773422044</v>
      </c>
      <c r="W66" s="6">
        <f t="shared" si="21"/>
        <v>1</v>
      </c>
      <c r="X66" s="7">
        <f t="shared" si="22"/>
        <v>0.59941548226577956</v>
      </c>
      <c r="Y66" s="7">
        <f t="shared" si="23"/>
        <v>0</v>
      </c>
      <c r="Z66" s="6"/>
      <c r="AB66">
        <f t="shared" si="24"/>
        <v>2011</v>
      </c>
      <c r="AC66" s="1" t="b">
        <f t="shared" si="25"/>
        <v>1</v>
      </c>
      <c r="AE66" s="1" t="b">
        <f t="shared" si="47"/>
        <v>1</v>
      </c>
      <c r="AF66" s="1" t="b">
        <f t="shared" si="48"/>
        <v>1</v>
      </c>
      <c r="AH66" s="1" t="b">
        <f t="shared" si="40"/>
        <v>1</v>
      </c>
      <c r="AI66" s="1" t="b">
        <f t="shared" si="28"/>
        <v>1</v>
      </c>
      <c r="AJ66" s="1" t="b">
        <f t="shared" si="29"/>
        <v>1</v>
      </c>
      <c r="AL66">
        <f t="shared" si="30"/>
        <v>2011</v>
      </c>
      <c r="AM66" s="2">
        <f>B66</f>
        <v>159000.26813780094</v>
      </c>
      <c r="AN66" s="2"/>
      <c r="AO66" s="26">
        <f t="shared" si="49"/>
        <v>124989.19986188012</v>
      </c>
      <c r="AP66" s="26">
        <f t="shared" si="49"/>
        <v>84229.222510163294</v>
      </c>
      <c r="AQ66" s="2"/>
      <c r="AR66" s="2">
        <f t="shared" si="38"/>
        <v>96623.407369629349</v>
      </c>
      <c r="AS66" s="2">
        <f t="shared" si="11"/>
        <v>310650.21360100235</v>
      </c>
      <c r="AT66" s="2">
        <f t="shared" si="31"/>
        <v>775492.31148047606</v>
      </c>
      <c r="AU66" s="2">
        <f t="shared" si="32"/>
        <v>0</v>
      </c>
    </row>
    <row r="67" spans="1:48" x14ac:dyDescent="0.2">
      <c r="A67">
        <f t="shared" si="4"/>
        <v>2012</v>
      </c>
      <c r="B67" s="2">
        <f t="shared" si="41"/>
        <v>184154.11055720103</v>
      </c>
      <c r="C67" s="2"/>
      <c r="D67" s="2">
        <f t="shared" si="43"/>
        <v>144737.49344005715</v>
      </c>
      <c r="E67" s="2">
        <f t="shared" si="44"/>
        <v>99424.174250996759</v>
      </c>
      <c r="F67" s="2"/>
      <c r="G67" s="2">
        <f t="shared" si="39"/>
        <v>114150.89346648012</v>
      </c>
      <c r="H67" s="2">
        <f t="shared" si="15"/>
        <v>323231.54725184292</v>
      </c>
      <c r="I67" s="2">
        <f t="shared" si="16"/>
        <v>865698.2189665779</v>
      </c>
      <c r="J67" s="2">
        <f t="shared" si="17"/>
        <v>90205.907486101845</v>
      </c>
      <c r="K67" s="6">
        <f t="shared" si="18"/>
        <v>0.11632082762225153</v>
      </c>
      <c r="L67" s="7">
        <f t="shared" si="19"/>
        <v>1.1163208276222516</v>
      </c>
      <c r="O67">
        <f t="shared" si="20"/>
        <v>2012</v>
      </c>
      <c r="P67" s="6">
        <f t="shared" si="5"/>
        <v>0.2127232175399805</v>
      </c>
      <c r="Q67" s="7"/>
      <c r="R67" s="6">
        <f t="shared" si="45"/>
        <v>0.16719162667659945</v>
      </c>
      <c r="S67" s="6">
        <f t="shared" si="46"/>
        <v>0.11484853736869619</v>
      </c>
      <c r="T67" s="7"/>
      <c r="U67" s="6">
        <f t="shared" si="5"/>
        <v>0.13185991488205562</v>
      </c>
      <c r="V67" s="6">
        <f t="shared" si="8"/>
        <v>0.37337670353266827</v>
      </c>
      <c r="W67" s="6">
        <f t="shared" si="21"/>
        <v>1</v>
      </c>
      <c r="X67" s="7">
        <f t="shared" si="22"/>
        <v>0.62662329646733173</v>
      </c>
      <c r="Y67" s="7">
        <f t="shared" si="23"/>
        <v>0</v>
      </c>
      <c r="Z67" s="6"/>
      <c r="AB67">
        <f t="shared" si="24"/>
        <v>2012</v>
      </c>
      <c r="AC67" s="1" t="b">
        <f t="shared" si="25"/>
        <v>1</v>
      </c>
      <c r="AE67" s="1" t="b">
        <f t="shared" si="47"/>
        <v>1</v>
      </c>
      <c r="AF67" s="1" t="b">
        <f t="shared" si="48"/>
        <v>1</v>
      </c>
      <c r="AH67" s="1" t="b">
        <f t="shared" si="40"/>
        <v>1</v>
      </c>
      <c r="AI67" s="1" t="b">
        <f t="shared" si="28"/>
        <v>1</v>
      </c>
      <c r="AJ67" s="1" t="b">
        <f t="shared" si="29"/>
        <v>1</v>
      </c>
      <c r="AL67">
        <f t="shared" si="30"/>
        <v>2012</v>
      </c>
      <c r="AM67" s="2">
        <f>B67</f>
        <v>184154.11055720103</v>
      </c>
      <c r="AN67" s="2"/>
      <c r="AO67" s="26">
        <f t="shared" si="49"/>
        <v>144737.49344005715</v>
      </c>
      <c r="AP67" s="26">
        <f t="shared" si="49"/>
        <v>99424.174250996759</v>
      </c>
      <c r="AQ67" s="2"/>
      <c r="AR67" s="2">
        <f t="shared" si="38"/>
        <v>114150.89346648012</v>
      </c>
      <c r="AS67" s="2">
        <f t="shared" si="11"/>
        <v>323231.54725184292</v>
      </c>
      <c r="AT67" s="2">
        <f t="shared" si="31"/>
        <v>865698.2189665779</v>
      </c>
      <c r="AU67" s="2">
        <f t="shared" si="32"/>
        <v>0</v>
      </c>
    </row>
    <row r="68" spans="1:48" x14ac:dyDescent="0.2">
      <c r="A68">
        <f t="shared" si="4"/>
        <v>2013</v>
      </c>
      <c r="B68" s="2">
        <f t="shared" si="41"/>
        <v>243414.90333450833</v>
      </c>
      <c r="C68" s="2"/>
      <c r="D68" s="2">
        <f t="shared" si="43"/>
        <v>195395.61614407715</v>
      </c>
      <c r="E68" s="2">
        <f t="shared" si="44"/>
        <v>136827.54860422172</v>
      </c>
      <c r="F68" s="2"/>
      <c r="G68" s="2">
        <f t="shared" si="39"/>
        <v>131319.18784383871</v>
      </c>
      <c r="H68" s="2">
        <f t="shared" si="15"/>
        <v>315926.51428395126</v>
      </c>
      <c r="I68" s="2">
        <f t="shared" ref="I68:I70" si="52">SUM(B68:H68)</f>
        <v>1022883.7702105971</v>
      </c>
      <c r="J68" s="2">
        <f t="shared" si="17"/>
        <v>157185.55124401918</v>
      </c>
      <c r="K68" s="6">
        <f t="shared" ref="K68" si="53">(J68/I67)</f>
        <v>0.18157083819770184</v>
      </c>
      <c r="L68" s="7">
        <f t="shared" ref="L68" si="54">K68+1</f>
        <v>1.1815708381977019</v>
      </c>
      <c r="O68">
        <f t="shared" ref="O68:O69" si="55">A68</f>
        <v>2013</v>
      </c>
      <c r="P68" s="6">
        <f t="shared" ref="P68:P69" si="56">B68/$I68</f>
        <v>0.23796926925958822</v>
      </c>
      <c r="Q68" s="7"/>
      <c r="R68" s="6">
        <f t="shared" ref="R68:R69" si="57">D68/$I68</f>
        <v>0.19102426085404406</v>
      </c>
      <c r="S68" s="6">
        <f t="shared" ref="S68:S69" si="58">E68/$I68</f>
        <v>0.13376646750006688</v>
      </c>
      <c r="T68" s="7"/>
      <c r="U68" s="6">
        <f t="shared" ref="U68:U69" si="59">G68/$I68</f>
        <v>0.12838133878769234</v>
      </c>
      <c r="V68" s="38">
        <f t="shared" ref="V68:V69" si="60">H68/$I68</f>
        <v>0.30885866359860858</v>
      </c>
      <c r="W68" s="6">
        <f t="shared" ref="W68:W69" si="61">SUM(P68:V68)</f>
        <v>1</v>
      </c>
      <c r="X68" s="7">
        <f t="shared" ref="X68:X69" si="62">SUM(P68:U68)</f>
        <v>0.69114133640139153</v>
      </c>
      <c r="Y68" s="7">
        <f t="shared" ref="Y68:Y69" si="63">W68-(X68+V68)</f>
        <v>0</v>
      </c>
      <c r="Z68" s="6"/>
      <c r="AB68">
        <f t="shared" ref="AB68:AB69" si="64">O68</f>
        <v>2013</v>
      </c>
      <c r="AC68" s="1" t="b">
        <f t="shared" ref="AC68:AC69" si="65">AND((B68/$I68)&gt;0.15,(B68/$I68)&lt;0.25)</f>
        <v>1</v>
      </c>
      <c r="AE68" s="1" t="b">
        <f t="shared" si="47"/>
        <v>1</v>
      </c>
      <c r="AF68" s="1" t="b">
        <f t="shared" ref="AF68:AF69" si="66">AND((E68/$I68)&gt;0.05,(E68/$I68)&lt;0.15)</f>
        <v>1</v>
      </c>
      <c r="AH68" s="1" t="b">
        <f t="shared" si="40"/>
        <v>1</v>
      </c>
      <c r="AI68" s="39" t="b">
        <f t="shared" si="28"/>
        <v>0</v>
      </c>
      <c r="AJ68" s="1" t="b">
        <f t="shared" ref="AJ68:AJ69" si="67">AND((I68/$I68)&gt;0.999,(I68/$I68)&lt;1.01)</f>
        <v>1</v>
      </c>
      <c r="AL68">
        <f t="shared" ref="AL68:AL69" si="68">A68</f>
        <v>2013</v>
      </c>
      <c r="AM68" s="40">
        <f>AM$42*$AT68</f>
        <v>204576.75404211943</v>
      </c>
      <c r="AN68" s="2"/>
      <c r="AO68" s="40">
        <f>AO$42*$AT68</f>
        <v>153432.56553158956</v>
      </c>
      <c r="AP68" s="40">
        <f>AP$42*$AT68</f>
        <v>102288.37702105971</v>
      </c>
      <c r="AQ68" s="2"/>
      <c r="AR68" s="40">
        <f>AR$42*$AT68</f>
        <v>153432.56553158956</v>
      </c>
      <c r="AS68" s="40">
        <f>AS$42*$AT68</f>
        <v>409153.50808423886</v>
      </c>
      <c r="AT68" s="2">
        <f t="shared" ref="AT68:AT69" si="69">I68</f>
        <v>1022883.7702105971</v>
      </c>
      <c r="AU68" s="2">
        <f t="shared" si="32"/>
        <v>0</v>
      </c>
    </row>
    <row r="69" spans="1:48" x14ac:dyDescent="0.2">
      <c r="A69">
        <f t="shared" si="4"/>
        <v>2014</v>
      </c>
      <c r="B69" s="2">
        <f t="shared" si="41"/>
        <v>232215.07351320976</v>
      </c>
      <c r="C69" s="2"/>
      <c r="D69" s="2">
        <f t="shared" si="43"/>
        <v>174299.39444388574</v>
      </c>
      <c r="E69" s="2">
        <f t="shared" si="44"/>
        <v>109827.03040751182</v>
      </c>
      <c r="F69" s="2"/>
      <c r="G69" s="2">
        <f t="shared" si="39"/>
        <v>146927.02475305015</v>
      </c>
      <c r="H69" s="2">
        <f t="shared" si="15"/>
        <v>432720.75014989107</v>
      </c>
      <c r="I69" s="2">
        <f t="shared" si="52"/>
        <v>1095989.2732675485</v>
      </c>
      <c r="J69" s="2">
        <f t="shared" si="17"/>
        <v>73105.503056951449</v>
      </c>
      <c r="K69" s="6">
        <f t="shared" ref="K69:K70" si="70">(J69/I68)</f>
        <v>7.1470000000000075E-2</v>
      </c>
      <c r="L69" s="7">
        <f t="shared" ref="L69:L70" si="71">K69+1</f>
        <v>1.0714700000000001</v>
      </c>
      <c r="O69">
        <f t="shared" si="55"/>
        <v>2014</v>
      </c>
      <c r="P69" s="6">
        <f t="shared" si="56"/>
        <v>0.21187714075055764</v>
      </c>
      <c r="Q69" s="7"/>
      <c r="R69" s="6">
        <f t="shared" si="57"/>
        <v>0.15903385069110659</v>
      </c>
      <c r="S69" s="6">
        <f t="shared" si="58"/>
        <v>0.10020812528582228</v>
      </c>
      <c r="T69" s="7"/>
      <c r="U69" s="6">
        <f t="shared" si="59"/>
        <v>0.13405881639243281</v>
      </c>
      <c r="V69" s="6">
        <f t="shared" si="60"/>
        <v>0.3948220668800807</v>
      </c>
      <c r="W69" s="6">
        <f t="shared" si="61"/>
        <v>1</v>
      </c>
      <c r="X69" s="7">
        <f t="shared" si="62"/>
        <v>0.6051779331199193</v>
      </c>
      <c r="Y69" s="7">
        <f t="shared" si="63"/>
        <v>0</v>
      </c>
      <c r="Z69" s="6"/>
      <c r="AB69">
        <f t="shared" si="64"/>
        <v>2014</v>
      </c>
      <c r="AC69" s="1" t="b">
        <f t="shared" si="65"/>
        <v>1</v>
      </c>
      <c r="AE69" s="1" t="b">
        <f t="shared" si="47"/>
        <v>1</v>
      </c>
      <c r="AF69" s="1" t="b">
        <f t="shared" si="66"/>
        <v>1</v>
      </c>
      <c r="AH69" s="1" t="b">
        <f t="shared" si="40"/>
        <v>1</v>
      </c>
      <c r="AI69" s="1" t="b">
        <f t="shared" si="28"/>
        <v>1</v>
      </c>
      <c r="AJ69" s="1" t="b">
        <f t="shared" si="67"/>
        <v>1</v>
      </c>
      <c r="AL69">
        <f t="shared" si="68"/>
        <v>2014</v>
      </c>
      <c r="AM69" s="2">
        <f t="shared" ref="AM69" si="72">B69</f>
        <v>232215.07351320976</v>
      </c>
      <c r="AN69" s="2"/>
      <c r="AO69" s="26">
        <f t="shared" ref="AO69" si="73">D69</f>
        <v>174299.39444388574</v>
      </c>
      <c r="AP69" s="26">
        <f t="shared" ref="AP69" si="74">E69</f>
        <v>109827.03040751182</v>
      </c>
      <c r="AQ69" s="2"/>
      <c r="AR69" s="2">
        <f t="shared" ref="AR69" si="75">G69</f>
        <v>146927.02475305015</v>
      </c>
      <c r="AS69" s="2">
        <f t="shared" ref="AS69" si="76">H69</f>
        <v>432720.75014989107</v>
      </c>
      <c r="AT69" s="2">
        <f t="shared" si="69"/>
        <v>1095989.2732675485</v>
      </c>
      <c r="AU69" s="2">
        <f t="shared" si="32"/>
        <v>0</v>
      </c>
      <c r="AV69" s="57"/>
    </row>
    <row r="70" spans="1:48" x14ac:dyDescent="0.2">
      <c r="A70">
        <f t="shared" si="4"/>
        <v>2015</v>
      </c>
      <c r="B70" s="2">
        <f t="shared" si="41"/>
        <v>235117.76193212488</v>
      </c>
      <c r="C70" s="2"/>
      <c r="D70" s="2">
        <f t="shared" si="43"/>
        <v>171754.62328500501</v>
      </c>
      <c r="E70" s="2">
        <f t="shared" si="44"/>
        <v>105675.56865810786</v>
      </c>
      <c r="F70" s="2"/>
      <c r="G70" s="2">
        <f t="shared" si="39"/>
        <v>140506.31377134187</v>
      </c>
      <c r="H70" s="2">
        <f t="shared" si="15"/>
        <v>434018.91240034072</v>
      </c>
      <c r="I70" s="2">
        <f t="shared" si="52"/>
        <v>1087073.1800469202</v>
      </c>
      <c r="J70" s="2">
        <f t="shared" si="17"/>
        <v>-8916.0932206283323</v>
      </c>
      <c r="K70" s="6">
        <f t="shared" si="70"/>
        <v>-8.1352011722214835E-3</v>
      </c>
      <c r="L70" s="7">
        <f t="shared" si="71"/>
        <v>0.99186479882777856</v>
      </c>
      <c r="O70">
        <f t="shared" ref="O70" si="77">A70</f>
        <v>2015</v>
      </c>
      <c r="P70" s="6">
        <f t="shared" ref="P70" si="78">B70/$I70</f>
        <v>0.21628512803708094</v>
      </c>
      <c r="Q70" s="7"/>
      <c r="R70" s="6">
        <f t="shared" ref="R70" si="79">D70/$I70</f>
        <v>0.15799729626076484</v>
      </c>
      <c r="S70" s="6">
        <f t="shared" ref="S70" si="80">E70/$I70</f>
        <v>9.7211089922710353E-2</v>
      </c>
      <c r="T70" s="7"/>
      <c r="U70" s="6">
        <f t="shared" ref="U70" si="81">G70/$I70</f>
        <v>0.129251936622406</v>
      </c>
      <c r="V70" s="6">
        <f t="shared" ref="V70" si="82">H70/$I70</f>
        <v>0.39925454915703801</v>
      </c>
      <c r="W70" s="6">
        <f t="shared" ref="W70" si="83">SUM(P70:V70)</f>
        <v>1</v>
      </c>
      <c r="X70" s="7">
        <f t="shared" ref="X70" si="84">SUM(P70:U70)</f>
        <v>0.60074545084296205</v>
      </c>
      <c r="Y70" s="7">
        <f t="shared" ref="Y70" si="85">W70-(X70+V70)</f>
        <v>0</v>
      </c>
      <c r="Z70" s="6"/>
      <c r="AB70">
        <f t="shared" ref="AB70" si="86">O70</f>
        <v>2015</v>
      </c>
      <c r="AC70" s="1" t="b">
        <f t="shared" ref="AC70" si="87">AND((B70/$I70)&gt;0.15,(B70/$I70)&lt;0.25)</f>
        <v>1</v>
      </c>
      <c r="AE70" s="1" t="b">
        <f t="shared" si="47"/>
        <v>1</v>
      </c>
      <c r="AF70" s="1" t="b">
        <f t="shared" ref="AF70" si="88">AND((E70/$I70)&gt;0.05,(E70/$I70)&lt;0.15)</f>
        <v>1</v>
      </c>
      <c r="AH70" s="1" t="b">
        <f t="shared" si="40"/>
        <v>1</v>
      </c>
      <c r="AI70" s="1" t="b">
        <f t="shared" si="28"/>
        <v>1</v>
      </c>
      <c r="AJ70" s="1" t="b">
        <f t="shared" ref="AJ70" si="89">AND((I70/$I70)&gt;0.999,(I70/$I70)&lt;1.01)</f>
        <v>1</v>
      </c>
      <c r="AL70">
        <f t="shared" ref="AL70" si="90">A70</f>
        <v>2015</v>
      </c>
      <c r="AM70" s="2">
        <f t="shared" ref="AM70" si="91">B70</f>
        <v>235117.76193212488</v>
      </c>
      <c r="AN70" s="2"/>
      <c r="AO70" s="26">
        <f t="shared" ref="AO70" si="92">D70</f>
        <v>171754.62328500501</v>
      </c>
      <c r="AP70" s="26">
        <f t="shared" ref="AP70" si="93">E70</f>
        <v>105675.56865810786</v>
      </c>
      <c r="AQ70" s="2"/>
      <c r="AR70" s="2">
        <f t="shared" ref="AR70" si="94">G70</f>
        <v>140506.31377134187</v>
      </c>
      <c r="AS70" s="2">
        <f t="shared" ref="AS70" si="95">H70</f>
        <v>434018.91240034072</v>
      </c>
      <c r="AT70" s="2">
        <f t="shared" ref="AT70" si="96">I70</f>
        <v>1087073.1800469202</v>
      </c>
      <c r="AU70" s="2">
        <f t="shared" ref="AU70" si="97">AT70-I70</f>
        <v>0</v>
      </c>
      <c r="AV70" s="57"/>
    </row>
    <row r="71" spans="1:48" x14ac:dyDescent="0.2">
      <c r="A71">
        <f t="shared" si="4"/>
        <v>2016</v>
      </c>
      <c r="B71" s="2">
        <f t="shared" si="41"/>
        <v>262908.68139250204</v>
      </c>
      <c r="C71" s="2"/>
      <c r="D71" s="2">
        <f t="shared" si="43"/>
        <v>190767.86008265507</v>
      </c>
      <c r="E71" s="2">
        <f t="shared" si="44"/>
        <v>124876.81948328606</v>
      </c>
      <c r="F71" s="2"/>
      <c r="G71" s="2">
        <f t="shared" si="39"/>
        <v>147039.85736170926</v>
      </c>
      <c r="H71" s="2">
        <f t="shared" si="15"/>
        <v>444869.38521034922</v>
      </c>
      <c r="I71" s="2">
        <f t="shared" ref="I71:I72" si="98">SUM(B71:H71)</f>
        <v>1170462.6035305017</v>
      </c>
      <c r="J71" s="2">
        <f t="shared" ref="J71:J72" si="99">I71-I70</f>
        <v>83389.423483581515</v>
      </c>
      <c r="K71" s="6">
        <f t="shared" ref="K71:K72" si="100">(J71/I70)</f>
        <v>7.67100366508741E-2</v>
      </c>
      <c r="L71" s="7">
        <f t="shared" ref="L71:L72" si="101">K71+1</f>
        <v>1.0767100366508742</v>
      </c>
      <c r="O71">
        <f t="shared" ref="O71:O72" si="102">A71</f>
        <v>2016</v>
      </c>
      <c r="P71" s="6">
        <f t="shared" ref="P71:P72" si="103">B71/$I71</f>
        <v>0.22461946293669072</v>
      </c>
      <c r="Q71" s="7"/>
      <c r="R71" s="6">
        <f t="shared" ref="R71:R72" si="104">D71/$I71</f>
        <v>0.16298501080447697</v>
      </c>
      <c r="S71" s="6">
        <f t="shared" ref="S71:S72" si="105">E71/$I71</f>
        <v>0.10669014038262849</v>
      </c>
      <c r="T71" s="7"/>
      <c r="U71" s="6">
        <f t="shared" ref="U71:U72" si="106">G71/$I71</f>
        <v>0.12562542102429286</v>
      </c>
      <c r="V71" s="6">
        <f t="shared" ref="V71:V72" si="107">H71/$I71</f>
        <v>0.38007996485191092</v>
      </c>
      <c r="W71" s="6">
        <f t="shared" ref="W71:W72" si="108">SUM(P71:V71)</f>
        <v>1</v>
      </c>
      <c r="X71" s="7">
        <f t="shared" ref="X71:X72" si="109">SUM(P71:U71)</f>
        <v>0.61992003514808902</v>
      </c>
      <c r="Y71" s="7">
        <f t="shared" ref="Y71:Y72" si="110">W71-(X71+V71)</f>
        <v>0</v>
      </c>
      <c r="Z71" s="6"/>
      <c r="AB71">
        <f t="shared" ref="AB71:AB72" si="111">O71</f>
        <v>2016</v>
      </c>
      <c r="AC71" s="1" t="b">
        <f t="shared" ref="AC71:AC72" si="112">AND((B71/$I71)&gt;0.15,(B71/$I71)&lt;0.25)</f>
        <v>1</v>
      </c>
      <c r="AE71" s="1" t="b">
        <f t="shared" si="47"/>
        <v>1</v>
      </c>
      <c r="AF71" s="1" t="b">
        <f t="shared" ref="AF71:AF72" si="113">AND((E71/$I71)&gt;0.05,(E71/$I71)&lt;0.15)</f>
        <v>1</v>
      </c>
      <c r="AH71" s="1" t="b">
        <f t="shared" si="40"/>
        <v>1</v>
      </c>
      <c r="AI71" s="1" t="b">
        <f t="shared" si="28"/>
        <v>1</v>
      </c>
      <c r="AJ71" s="1" t="b">
        <f t="shared" ref="AJ71:AJ72" si="114">AND((I71/$I71)&gt;0.999,(I71/$I71)&lt;1.01)</f>
        <v>1</v>
      </c>
      <c r="AL71">
        <f t="shared" ref="AL71:AL72" si="115">A71</f>
        <v>2016</v>
      </c>
      <c r="AM71" s="2">
        <f t="shared" ref="AM71" si="116">B71</f>
        <v>262908.68139250204</v>
      </c>
      <c r="AN71" s="2"/>
      <c r="AO71" s="26">
        <f t="shared" ref="AO71" si="117">D71</f>
        <v>190767.86008265507</v>
      </c>
      <c r="AP71" s="26">
        <f t="shared" ref="AP71" si="118">E71</f>
        <v>124876.81948328606</v>
      </c>
      <c r="AQ71" s="2"/>
      <c r="AR71" s="2">
        <f t="shared" ref="AR71" si="119">G71</f>
        <v>147039.85736170926</v>
      </c>
      <c r="AS71" s="2">
        <f t="shared" ref="AS71" si="120">H71</f>
        <v>444869.38521034922</v>
      </c>
      <c r="AT71" s="2">
        <f t="shared" ref="AT71:AT72" si="121">I71</f>
        <v>1170462.6035305017</v>
      </c>
      <c r="AU71" s="2">
        <f t="shared" ref="AU71:AU72" si="122">AT71-I71</f>
        <v>0</v>
      </c>
      <c r="AV71" s="57"/>
    </row>
    <row r="72" spans="1:48" x14ac:dyDescent="0.2">
      <c r="A72">
        <f t="shared" si="4"/>
        <v>2017</v>
      </c>
      <c r="B72" s="2">
        <f t="shared" si="41"/>
        <v>319880.99265025719</v>
      </c>
      <c r="C72" s="2"/>
      <c r="D72" s="2">
        <f t="shared" si="43"/>
        <v>228158.36065885544</v>
      </c>
      <c r="E72" s="2">
        <f t="shared" si="44"/>
        <v>144981.98742009513</v>
      </c>
      <c r="F72" s="2"/>
      <c r="G72" s="2">
        <f t="shared" si="39"/>
        <v>187328.7782788176</v>
      </c>
      <c r="H72" s="2">
        <f t="shared" si="15"/>
        <v>460261.86593862728</v>
      </c>
      <c r="I72" s="2">
        <f t="shared" si="98"/>
        <v>1340611.9849466528</v>
      </c>
      <c r="J72" s="2">
        <f t="shared" si="99"/>
        <v>170149.38141615107</v>
      </c>
      <c r="K72" s="6">
        <f t="shared" si="100"/>
        <v>0.14536934448219391</v>
      </c>
      <c r="L72" s="7">
        <f t="shared" si="101"/>
        <v>1.145369344482194</v>
      </c>
      <c r="O72">
        <f t="shared" si="102"/>
        <v>2017</v>
      </c>
      <c r="P72" s="6">
        <f t="shared" si="103"/>
        <v>0.23860818509912565</v>
      </c>
      <c r="Q72" s="7"/>
      <c r="R72" s="6">
        <f t="shared" si="104"/>
        <v>0.17018970680613046</v>
      </c>
      <c r="S72" s="6">
        <f t="shared" si="105"/>
        <v>0.10814612210546844</v>
      </c>
      <c r="T72" s="7"/>
      <c r="U72" s="6">
        <f t="shared" si="106"/>
        <v>0.13973377858938954</v>
      </c>
      <c r="V72" s="6">
        <f t="shared" si="107"/>
        <v>0.34332220739988578</v>
      </c>
      <c r="W72" s="6">
        <f t="shared" si="108"/>
        <v>0.99999999999999978</v>
      </c>
      <c r="X72" s="7">
        <f t="shared" si="109"/>
        <v>0.65667779260011405</v>
      </c>
      <c r="Y72" s="7">
        <f t="shared" si="110"/>
        <v>0</v>
      </c>
      <c r="Z72" s="6"/>
      <c r="AB72">
        <f t="shared" si="111"/>
        <v>2017</v>
      </c>
      <c r="AC72" s="1" t="b">
        <f t="shared" si="112"/>
        <v>1</v>
      </c>
      <c r="AE72" s="1" t="b">
        <f t="shared" si="47"/>
        <v>1</v>
      </c>
      <c r="AF72" s="1" t="b">
        <f t="shared" si="113"/>
        <v>1</v>
      </c>
      <c r="AH72" s="1" t="b">
        <f t="shared" si="40"/>
        <v>1</v>
      </c>
      <c r="AI72" s="39" t="b">
        <f t="shared" si="28"/>
        <v>0</v>
      </c>
      <c r="AJ72" s="1" t="b">
        <f t="shared" si="114"/>
        <v>1</v>
      </c>
      <c r="AL72">
        <f t="shared" si="115"/>
        <v>2017</v>
      </c>
      <c r="AM72" s="40">
        <f>AM$42*$AT72</f>
        <v>268122.39698933059</v>
      </c>
      <c r="AN72" s="2"/>
      <c r="AO72" s="40">
        <f>AO$42*$AT72</f>
        <v>201091.7977419979</v>
      </c>
      <c r="AP72" s="40">
        <f>AP$42*$AT72</f>
        <v>134061.1984946653</v>
      </c>
      <c r="AQ72" s="2"/>
      <c r="AR72" s="40">
        <f>AR$42*$AT72</f>
        <v>201091.7977419979</v>
      </c>
      <c r="AS72" s="40">
        <f>AS$42*$AT72</f>
        <v>536244.79397866118</v>
      </c>
      <c r="AT72" s="2">
        <f t="shared" si="121"/>
        <v>1340611.9849466528</v>
      </c>
      <c r="AU72" s="2">
        <f t="shared" si="122"/>
        <v>0</v>
      </c>
      <c r="AV72" s="57"/>
    </row>
    <row r="73" spans="1:48" x14ac:dyDescent="0.2">
      <c r="A73">
        <f t="shared" si="4"/>
        <v>2018</v>
      </c>
      <c r="B73" s="2">
        <f t="shared" si="41"/>
        <v>256056.8891248107</v>
      </c>
      <c r="C73" s="2"/>
      <c r="D73" s="2">
        <f t="shared" si="43"/>
        <v>182390.26055199211</v>
      </c>
      <c r="E73" s="2">
        <f t="shared" si="44"/>
        <v>121459.44583616676</v>
      </c>
      <c r="F73" s="2"/>
      <c r="G73" s="2">
        <f t="shared" si="39"/>
        <v>171933.48706940821</v>
      </c>
      <c r="H73" s="2">
        <f t="shared" si="15"/>
        <v>535708.54918468255</v>
      </c>
      <c r="I73" s="2">
        <f t="shared" ref="I73" si="123">SUM(B73:H73)</f>
        <v>1267548.6317670601</v>
      </c>
      <c r="J73" s="2">
        <f t="shared" ref="J73" si="124">I73-I72</f>
        <v>-73063.353179592639</v>
      </c>
      <c r="K73" s="6">
        <f t="shared" ref="K73" si="125">(J73/I72)</f>
        <v>-5.4500000000000048E-2</v>
      </c>
      <c r="L73" s="7">
        <f t="shared" ref="L73" si="126">K73+1</f>
        <v>0.94550000000000001</v>
      </c>
      <c r="O73">
        <f t="shared" ref="O73" si="127">A73</f>
        <v>2018</v>
      </c>
      <c r="P73" s="6">
        <f t="shared" ref="P73" si="128">B73/$I73</f>
        <v>0.20200951877313592</v>
      </c>
      <c r="Q73" s="7"/>
      <c r="R73" s="6">
        <f t="shared" ref="R73" si="129">D73/$I73</f>
        <v>0.14389212057112638</v>
      </c>
      <c r="S73" s="6">
        <f t="shared" ref="S73" si="130">E73/$I73</f>
        <v>9.5822316234796423E-2</v>
      </c>
      <c r="T73" s="7"/>
      <c r="U73" s="6">
        <f t="shared" ref="U73" si="131">G73/$I73</f>
        <v>0.13564251718667372</v>
      </c>
      <c r="V73" s="6">
        <f t="shared" ref="V73" si="132">H73/$I73</f>
        <v>0.42263352723426767</v>
      </c>
      <c r="W73" s="6">
        <f t="shared" ref="W73" si="133">SUM(P73:V73)</f>
        <v>1.0000000000000002</v>
      </c>
      <c r="X73" s="7">
        <f t="shared" ref="X73" si="134">SUM(P73:U73)</f>
        <v>0.5773664727657325</v>
      </c>
      <c r="Y73" s="7">
        <f t="shared" ref="Y73" si="135">W73-(X73+V73)</f>
        <v>0</v>
      </c>
      <c r="Z73" s="6"/>
      <c r="AB73">
        <f t="shared" ref="AB73" si="136">O73</f>
        <v>2018</v>
      </c>
      <c r="AC73" s="1" t="b">
        <f t="shared" ref="AC73" si="137">AND((B73/$I73)&gt;0.15,(B73/$I73)&lt;0.25)</f>
        <v>1</v>
      </c>
      <c r="AE73" s="1" t="b">
        <f t="shared" si="47"/>
        <v>1</v>
      </c>
      <c r="AF73" s="1" t="b">
        <f t="shared" ref="AF73" si="138">AND((E73/$I73)&gt;0.05,(E73/$I73)&lt;0.15)</f>
        <v>1</v>
      </c>
      <c r="AH73" s="1" t="b">
        <f t="shared" si="40"/>
        <v>1</v>
      </c>
      <c r="AI73" s="1" t="b">
        <f t="shared" si="28"/>
        <v>1</v>
      </c>
      <c r="AJ73" s="1" t="b">
        <f t="shared" ref="AJ73" si="139">AND((I73/$I73)&gt;0.999,(I73/$I73)&lt;1.01)</f>
        <v>1</v>
      </c>
      <c r="AL73">
        <f t="shared" ref="AL73:AL74" si="140">A73</f>
        <v>2018</v>
      </c>
      <c r="AM73" s="2">
        <f t="shared" ref="AM73" si="141">B73</f>
        <v>256056.8891248107</v>
      </c>
      <c r="AN73" s="2"/>
      <c r="AO73" s="26">
        <f t="shared" ref="AO73" si="142">D73</f>
        <v>182390.26055199211</v>
      </c>
      <c r="AP73" s="26">
        <f t="shared" ref="AP73" si="143">E73</f>
        <v>121459.44583616676</v>
      </c>
      <c r="AQ73" s="2"/>
      <c r="AR73" s="2">
        <f t="shared" ref="AR73" si="144">G73</f>
        <v>171933.48706940821</v>
      </c>
      <c r="AS73" s="2">
        <f t="shared" ref="AS73" si="145">H73</f>
        <v>535708.54918468255</v>
      </c>
      <c r="AT73" s="2">
        <f t="shared" ref="AT73:AT74" si="146">I73</f>
        <v>1267548.6317670601</v>
      </c>
      <c r="AU73" s="2">
        <f t="shared" ref="AU73" si="147">AT73-I73</f>
        <v>0</v>
      </c>
      <c r="AV73" s="57"/>
    </row>
    <row r="74" spans="1:48" x14ac:dyDescent="0.2">
      <c r="A74">
        <f t="shared" ref="A74:A75" si="148">A35</f>
        <v>2019</v>
      </c>
      <c r="B74" s="2">
        <f t="shared" ref="B74:B75" si="149">AM73*(1+(B35/100))</f>
        <v>336602.14416791114</v>
      </c>
      <c r="C74" s="2"/>
      <c r="D74" s="2">
        <f t="shared" ref="D74:E74" si="150">AO73*(1+(D35/100))</f>
        <v>238988.87664544411</v>
      </c>
      <c r="E74" s="2">
        <f t="shared" si="150"/>
        <v>154699.73821593387</v>
      </c>
      <c r="F74" s="2"/>
      <c r="G74" s="2">
        <f t="shared" ref="G74:H74" si="151">AR73*(1+(G35/100))</f>
        <v>208912.94146829651</v>
      </c>
      <c r="H74" s="2">
        <f t="shared" si="151"/>
        <v>582390.19216063584</v>
      </c>
      <c r="I74" s="2">
        <f t="shared" ref="I74:I75" si="152">SUM(B74:H74)</f>
        <v>1521593.8926582215</v>
      </c>
      <c r="J74" s="2">
        <f t="shared" ref="J74:J75" si="153">I74-I73</f>
        <v>254045.26089116139</v>
      </c>
      <c r="K74" s="6">
        <f t="shared" ref="K74:K75" si="154">(J74/I73)</f>
        <v>0.20042249624537309</v>
      </c>
      <c r="L74" s="7">
        <f t="shared" ref="L74:L75" si="155">K74+1</f>
        <v>1.2004224962453731</v>
      </c>
      <c r="O74">
        <f t="shared" ref="O74:O75" si="156">A74</f>
        <v>2019</v>
      </c>
      <c r="P74" s="6">
        <f t="shared" ref="P74:P75" si="157">B74/$I74</f>
        <v>0.2212168081063127</v>
      </c>
      <c r="Q74" s="7"/>
      <c r="R74" s="6">
        <f t="shared" ref="R74:R75" si="158">D74/$I74</f>
        <v>0.15706482379995032</v>
      </c>
      <c r="S74" s="6">
        <f t="shared" ref="S74:S75" si="159">E74/$I74</f>
        <v>0.10166953151058837</v>
      </c>
      <c r="T74" s="7"/>
      <c r="U74" s="6">
        <f t="shared" ref="U74:U75" si="160">G74/$I74</f>
        <v>0.13729875131354924</v>
      </c>
      <c r="V74" s="6">
        <f t="shared" ref="V74:V75" si="161">H74/$I74</f>
        <v>0.3827500852695993</v>
      </c>
      <c r="W74" s="6">
        <f t="shared" ref="W74:W75" si="162">SUM(P74:V74)</f>
        <v>1</v>
      </c>
      <c r="X74" s="7">
        <f t="shared" ref="X74:X75" si="163">SUM(P74:U74)</f>
        <v>0.6172499147304007</v>
      </c>
      <c r="Y74" s="7">
        <f t="shared" ref="Y74:Y75" si="164">W74-(X74+V74)</f>
        <v>0</v>
      </c>
      <c r="Z74" s="6"/>
      <c r="AB74">
        <f t="shared" ref="AB74:AB75" si="165">O74</f>
        <v>2019</v>
      </c>
      <c r="AC74" s="1" t="b">
        <f t="shared" ref="AC74" si="166">AND((B74/$I74)&gt;0.15,(B74/$I74)&lt;0.25)</f>
        <v>1</v>
      </c>
      <c r="AE74" s="1" t="b">
        <f t="shared" ref="AE74" si="167">AND((D74/$I74)&gt;0.1,(D74/$I74)&lt;0.2)</f>
        <v>1</v>
      </c>
      <c r="AF74" s="1" t="b">
        <f t="shared" ref="AF74" si="168">AND((E74/$I74)&gt;0.05,(E74/$I74)&lt;0.15)</f>
        <v>1</v>
      </c>
      <c r="AH74" s="1" t="b">
        <f t="shared" ref="AH74" si="169">AND((G74/$I74)&gt;0.1,(G74/$I74)&lt;0.2)</f>
        <v>1</v>
      </c>
      <c r="AI74" s="1" t="b">
        <f t="shared" ref="AI74" si="170">AND((H74/$I74)&gt;0.35,(H74/$I74)&lt;0.45)</f>
        <v>1</v>
      </c>
      <c r="AJ74" s="1" t="b">
        <f t="shared" ref="AJ74:AJ75" si="171">AND((I74/$I74)&gt;0.999,(I74/$I74)&lt;1.01)</f>
        <v>1</v>
      </c>
      <c r="AL74">
        <f t="shared" si="140"/>
        <v>2019</v>
      </c>
      <c r="AM74" s="2">
        <f t="shared" ref="AM74" si="172">B74</f>
        <v>336602.14416791114</v>
      </c>
      <c r="AN74" s="2"/>
      <c r="AO74" s="26">
        <f t="shared" ref="AO74" si="173">D74</f>
        <v>238988.87664544411</v>
      </c>
      <c r="AP74" s="26">
        <f t="shared" ref="AP74" si="174">E74</f>
        <v>154699.73821593387</v>
      </c>
      <c r="AQ74" s="2"/>
      <c r="AR74" s="2">
        <f t="shared" ref="AR74" si="175">G74</f>
        <v>208912.94146829651</v>
      </c>
      <c r="AS74" s="2">
        <f t="shared" ref="AS74" si="176">H74</f>
        <v>582390.19216063584</v>
      </c>
      <c r="AT74" s="2">
        <f t="shared" si="146"/>
        <v>1521593.8926582215</v>
      </c>
      <c r="AU74" s="2">
        <f t="shared" ref="AU74:AU75" si="177">AT74-I74</f>
        <v>0</v>
      </c>
      <c r="AV74" s="57"/>
    </row>
    <row r="75" spans="1:48" x14ac:dyDescent="0.2">
      <c r="A75">
        <f t="shared" si="148"/>
        <v>2020</v>
      </c>
      <c r="B75" s="2">
        <f t="shared" si="149"/>
        <v>398435.95805155643</v>
      </c>
      <c r="C75" s="2"/>
      <c r="D75" s="2">
        <f t="shared" ref="D75:E75" si="178">AO74*(1+(D36/100))</f>
        <v>282580.44774557307</v>
      </c>
      <c r="E75" s="2">
        <f t="shared" si="178"/>
        <v>184262.85818899886</v>
      </c>
      <c r="F75" s="2"/>
      <c r="G75" s="2">
        <f t="shared" ref="G75:H75" si="179">AR74*(1+(G36/100))</f>
        <v>232478.32126592036</v>
      </c>
      <c r="H75" s="2">
        <f t="shared" si="179"/>
        <v>627350.71499543684</v>
      </c>
      <c r="I75" s="2">
        <f t="shared" si="152"/>
        <v>1725108.3002474855</v>
      </c>
      <c r="J75" s="2">
        <f t="shared" si="153"/>
        <v>203514.40758926398</v>
      </c>
      <c r="K75" s="6">
        <f t="shared" si="154"/>
        <v>0.1337508047128953</v>
      </c>
      <c r="L75" s="7">
        <f t="shared" si="155"/>
        <v>1.1337508047128952</v>
      </c>
      <c r="O75">
        <f t="shared" si="156"/>
        <v>2020</v>
      </c>
      <c r="P75" s="59">
        <f t="shared" si="157"/>
        <v>0.23096286650200248</v>
      </c>
      <c r="Q75" s="7"/>
      <c r="R75" s="6">
        <f t="shared" si="158"/>
        <v>0.16380446822094233</v>
      </c>
      <c r="S75" s="6">
        <f t="shared" si="159"/>
        <v>0.10681234225269472</v>
      </c>
      <c r="T75" s="7"/>
      <c r="U75" s="6">
        <f t="shared" si="160"/>
        <v>0.1347615806106601</v>
      </c>
      <c r="V75" s="59">
        <f t="shared" si="161"/>
        <v>0.36365874241370039</v>
      </c>
      <c r="W75" s="6">
        <f t="shared" si="162"/>
        <v>1</v>
      </c>
      <c r="X75" s="60">
        <f t="shared" si="163"/>
        <v>0.63634125758629967</v>
      </c>
      <c r="Y75" s="7">
        <f t="shared" si="164"/>
        <v>0</v>
      </c>
      <c r="Z75" s="6"/>
      <c r="AB75">
        <f t="shared" si="165"/>
        <v>2020</v>
      </c>
      <c r="AC75" s="1" t="b">
        <f t="shared" ref="AC75" si="180">AND((B75/$I75)&gt;0.15,(B75/$I75)&lt;0.25)</f>
        <v>1</v>
      </c>
      <c r="AE75" s="1" t="b">
        <f t="shared" si="47"/>
        <v>1</v>
      </c>
      <c r="AF75" s="1" t="b">
        <f t="shared" ref="AF75" si="181">AND((E75/$I75)&gt;0.05,(E75/$I75)&lt;0.15)</f>
        <v>1</v>
      </c>
      <c r="AH75" s="1" t="b">
        <f t="shared" si="40"/>
        <v>1</v>
      </c>
      <c r="AI75" s="1" t="b">
        <f t="shared" si="28"/>
        <v>1</v>
      </c>
      <c r="AJ75" s="1" t="b">
        <f t="shared" si="171"/>
        <v>1</v>
      </c>
      <c r="AL75">
        <f t="shared" ref="AL75" si="182">A75</f>
        <v>2020</v>
      </c>
      <c r="AM75" s="2">
        <f t="shared" ref="AM75" si="183">B75</f>
        <v>398435.95805155643</v>
      </c>
      <c r="AN75" s="2"/>
      <c r="AO75" s="26">
        <f t="shared" ref="AO75" si="184">D75</f>
        <v>282580.44774557307</v>
      </c>
      <c r="AP75" s="26">
        <f t="shared" ref="AP75" si="185">E75</f>
        <v>184262.85818899886</v>
      </c>
      <c r="AQ75" s="2"/>
      <c r="AR75" s="2">
        <f t="shared" ref="AR75" si="186">G75</f>
        <v>232478.32126592036</v>
      </c>
      <c r="AS75" s="2">
        <f t="shared" ref="AS75" si="187">H75</f>
        <v>627350.71499543684</v>
      </c>
      <c r="AT75" s="2">
        <f t="shared" ref="AT75" si="188">I75</f>
        <v>1725108.3002474855</v>
      </c>
      <c r="AU75" s="2">
        <f t="shared" si="177"/>
        <v>0</v>
      </c>
      <c r="AV75" s="57"/>
    </row>
    <row r="76" spans="1:48" x14ac:dyDescent="0.2">
      <c r="A76" s="9" t="s">
        <v>94</v>
      </c>
      <c r="B76" s="10">
        <f>AM75</f>
        <v>398435.95805155643</v>
      </c>
      <c r="C76" s="10"/>
      <c r="D76" s="10">
        <f>AO75</f>
        <v>282580.44774557307</v>
      </c>
      <c r="E76" s="10">
        <f>AP75</f>
        <v>184262.85818899886</v>
      </c>
      <c r="F76" s="10"/>
      <c r="G76" s="10">
        <f>AR75</f>
        <v>232478.32126592036</v>
      </c>
      <c r="H76" s="10">
        <f>AS75</f>
        <v>627350.71499543684</v>
      </c>
      <c r="I76" s="10">
        <f>SUM(B76:H76)</f>
        <v>1725108.3002474855</v>
      </c>
      <c r="J76" s="92">
        <f>I76-'Panic Portfolio'!I76</f>
        <v>480546.94692879519</v>
      </c>
      <c r="K76" s="10"/>
      <c r="O76" s="74" t="s">
        <v>132</v>
      </c>
      <c r="P76" s="88">
        <f>P75</f>
        <v>0.23096286650200248</v>
      </c>
      <c r="Q76" s="74"/>
      <c r="R76" s="88">
        <f>R75</f>
        <v>0.16380446822094233</v>
      </c>
      <c r="S76" s="88">
        <f>S75</f>
        <v>0.10681234225269472</v>
      </c>
      <c r="T76" s="74"/>
      <c r="U76" s="88">
        <f>U75</f>
        <v>0.1347615806106601</v>
      </c>
      <c r="V76" s="88">
        <f>V75</f>
        <v>0.36365874241370039</v>
      </c>
      <c r="W76" s="88">
        <f>W73</f>
        <v>1.0000000000000002</v>
      </c>
      <c r="X76" s="88">
        <f>X75</f>
        <v>0.63634125758629967</v>
      </c>
      <c r="Y76" s="88">
        <f>Y73</f>
        <v>0</v>
      </c>
      <c r="AM76" s="2"/>
      <c r="AO76" s="2"/>
      <c r="AP76" s="2"/>
      <c r="AR76" s="2"/>
      <c r="AS76" s="2"/>
    </row>
    <row r="77" spans="1:48" x14ac:dyDescent="0.2">
      <c r="A77" s="11" t="s">
        <v>133</v>
      </c>
      <c r="I77" s="6">
        <f>(I76-I42)/I42</f>
        <v>16.251083002474854</v>
      </c>
      <c r="K77" s="6"/>
      <c r="R77" s="7"/>
      <c r="AO77" s="2"/>
    </row>
    <row r="78" spans="1:48" x14ac:dyDescent="0.2">
      <c r="A78" s="1" t="s">
        <v>96</v>
      </c>
      <c r="I78" s="29">
        <f>STDEV(L43:L75)</f>
        <v>0.10473509633236666</v>
      </c>
      <c r="K78" s="30"/>
      <c r="S78" s="89"/>
      <c r="T78" s="89"/>
      <c r="U78" s="90" t="s">
        <v>134</v>
      </c>
      <c r="V78" s="89" t="b">
        <f>IF((V75=V76),TRUE,FALSE)</f>
        <v>1</v>
      </c>
      <c r="W78" s="89"/>
      <c r="X78" s="91" t="b">
        <f>IF(((SUM(P75:U75))=X76),TRUE,FALSE)</f>
        <v>1</v>
      </c>
      <c r="AL78" s="21" t="s">
        <v>145</v>
      </c>
      <c r="AM78">
        <f>COUNT(AM49,AM51,AM53,AM57:AM58,AM61,AM63:AM64,AM68,AM72)</f>
        <v>10</v>
      </c>
    </row>
    <row r="79" spans="1:48" x14ac:dyDescent="0.2">
      <c r="A79" s="1" t="s">
        <v>135</v>
      </c>
      <c r="I79" s="13">
        <f>((1+I77)^(1/I84))-1</f>
        <v>9.0132490889487604E-2</v>
      </c>
      <c r="K79" s="30"/>
      <c r="AL79" t="s">
        <v>146</v>
      </c>
      <c r="AM79">
        <f>COUNTA(AL43:AL75)</f>
        <v>33</v>
      </c>
    </row>
    <row r="80" spans="1:48" x14ac:dyDescent="0.2">
      <c r="A80" s="1" t="s">
        <v>98</v>
      </c>
      <c r="I80" s="31">
        <f>J63</f>
        <v>-155829.71018680953</v>
      </c>
      <c r="J80" s="2"/>
      <c r="AL80" s="21" t="s">
        <v>147</v>
      </c>
      <c r="AM80" s="87">
        <f>AM79/AM78</f>
        <v>3.3</v>
      </c>
    </row>
    <row r="81" spans="1:9" x14ac:dyDescent="0.2">
      <c r="A81" s="1" t="s">
        <v>136</v>
      </c>
      <c r="I81" s="32">
        <f>K63</f>
        <v>-0.22002616362721278</v>
      </c>
    </row>
    <row r="82" spans="1:9" x14ac:dyDescent="0.2">
      <c r="A82" s="3" t="s">
        <v>137</v>
      </c>
      <c r="I82" s="33">
        <f>I75-I76</f>
        <v>0</v>
      </c>
    </row>
    <row r="83" spans="1:9" x14ac:dyDescent="0.2">
      <c r="A83" s="3" t="s">
        <v>138</v>
      </c>
      <c r="I83" s="93">
        <f>((SUM(J43:J75))-(I76-I42))</f>
        <v>0</v>
      </c>
    </row>
    <row r="84" spans="1:9" x14ac:dyDescent="0.2">
      <c r="A84" s="3" t="s">
        <v>139</v>
      </c>
      <c r="I84" s="3">
        <f>COUNTA(I43:I75)</f>
        <v>33</v>
      </c>
    </row>
    <row r="85" spans="1:9" x14ac:dyDescent="0.2">
      <c r="A85" s="95" t="s">
        <v>100</v>
      </c>
      <c r="B85" s="63"/>
      <c r="C85" s="63"/>
      <c r="D85" s="63"/>
      <c r="E85" s="63"/>
      <c r="G85" s="63"/>
      <c r="H85" s="63"/>
      <c r="I85" s="94">
        <f>X76</f>
        <v>0.63634125758629967</v>
      </c>
    </row>
    <row r="86" spans="1:9" x14ac:dyDescent="0.2">
      <c r="A86" s="95" t="s">
        <v>179</v>
      </c>
      <c r="B86" s="2"/>
      <c r="D86" s="2"/>
      <c r="E86" s="2"/>
      <c r="G86" s="2"/>
      <c r="H86" s="2"/>
      <c r="I86" s="94">
        <f>V76</f>
        <v>0.36365874241370039</v>
      </c>
    </row>
    <row r="87" spans="1:9" x14ac:dyDescent="0.2">
      <c r="B87" s="2"/>
      <c r="D87" s="2"/>
      <c r="E87" s="2"/>
      <c r="G87" s="2"/>
      <c r="H87" s="2"/>
      <c r="I87"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87"/>
  <sheetViews>
    <sheetView topLeftCell="A40" zoomScaleNormal="100" workbookViewId="0">
      <selection activeCell="B42" sqref="B42:H42"/>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104</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47"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6" spans="1:47"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row>
    <row r="39" spans="1:47" x14ac:dyDescent="0.2">
      <c r="A39" s="20" t="s">
        <v>140</v>
      </c>
      <c r="O39" s="20" t="s">
        <v>141</v>
      </c>
      <c r="AB39" s="20" t="s">
        <v>142</v>
      </c>
      <c r="AL39" s="20" t="s">
        <v>143</v>
      </c>
    </row>
    <row r="40" spans="1:47"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P40" s="4" t="str">
        <f>B40</f>
        <v>LC Stocks</v>
      </c>
      <c r="Q40" s="4" t="str">
        <f t="shared" ref="Q40:V41" si="1">C40</f>
        <v>Ext Mkt</v>
      </c>
      <c r="R40" s="4" t="str">
        <f t="shared" si="1"/>
        <v>Mcap Stk</v>
      </c>
      <c r="S40" s="4" t="str">
        <f t="shared" si="1"/>
        <v>Small Cap</v>
      </c>
      <c r="T40" s="4" t="str">
        <f t="shared" si="1"/>
        <v>Intl Val</v>
      </c>
      <c r="U40" s="4" t="str">
        <f t="shared" si="1"/>
        <v>Tot Int Stk</v>
      </c>
      <c r="V40" s="4" t="str">
        <f t="shared" si="1"/>
        <v>Bonds</v>
      </c>
      <c r="W40" s="5"/>
      <c r="X40" s="5" t="s">
        <v>124</v>
      </c>
      <c r="Y40" s="3" t="s">
        <v>125</v>
      </c>
      <c r="Z40" s="62"/>
      <c r="AC40" s="4" t="str">
        <f t="shared" ref="AC40:AI42" si="2">P40</f>
        <v>LC Stocks</v>
      </c>
      <c r="AD40" s="4" t="str">
        <f t="shared" si="2"/>
        <v>Ext Mkt</v>
      </c>
      <c r="AE40" s="4" t="str">
        <f t="shared" si="2"/>
        <v>Mcap Stk</v>
      </c>
      <c r="AF40" s="4" t="str">
        <f t="shared" si="2"/>
        <v>Small Cap</v>
      </c>
      <c r="AG40" s="4" t="str">
        <f t="shared" si="2"/>
        <v>Intl Val</v>
      </c>
      <c r="AH40" s="4" t="str">
        <f t="shared" si="2"/>
        <v>Tot Int Stk</v>
      </c>
      <c r="AI40" s="4" t="str">
        <f t="shared" si="2"/>
        <v>Bonds</v>
      </c>
      <c r="AJ40" s="5"/>
      <c r="AM40" s="4" t="str">
        <f>AC40</f>
        <v>LC Stocks</v>
      </c>
      <c r="AN40" s="4" t="str">
        <f t="shared" ref="AN40:AT42" si="3">AD40</f>
        <v>Ext Mkt</v>
      </c>
      <c r="AO40" s="4" t="str">
        <f t="shared" si="3"/>
        <v>Mcap Stk</v>
      </c>
      <c r="AP40" s="4" t="str">
        <f t="shared" si="3"/>
        <v>Small Cap</v>
      </c>
      <c r="AQ40" s="4" t="str">
        <f t="shared" si="3"/>
        <v>Intl Val</v>
      </c>
      <c r="AR40" s="4" t="str">
        <f t="shared" si="3"/>
        <v>Tot Int Stk</v>
      </c>
      <c r="AS40" s="4" t="str">
        <f t="shared" si="3"/>
        <v>Bonds</v>
      </c>
      <c r="AT40" s="4"/>
      <c r="AU40" t="s">
        <v>144</v>
      </c>
    </row>
    <row r="41" spans="1:47"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O41" t="s">
        <v>126</v>
      </c>
      <c r="P41" s="4" t="str">
        <f>B41</f>
        <v>VFIAX</v>
      </c>
      <c r="Q41" s="4" t="str">
        <f t="shared" si="1"/>
        <v>VEXMX</v>
      </c>
      <c r="R41" s="4" t="str">
        <f t="shared" si="1"/>
        <v>VIMAX</v>
      </c>
      <c r="S41" s="4" t="str">
        <f t="shared" si="1"/>
        <v>VSMAX</v>
      </c>
      <c r="T41" s="4" t="str">
        <f t="shared" si="1"/>
        <v>VTRIX</v>
      </c>
      <c r="U41" s="4" t="str">
        <f t="shared" si="1"/>
        <v>VTIAX</v>
      </c>
      <c r="V41" s="4" t="str">
        <f t="shared" si="1"/>
        <v>VBTLX</v>
      </c>
      <c r="W41" s="5" t="s">
        <v>67</v>
      </c>
      <c r="X41" s="5" t="s">
        <v>125</v>
      </c>
      <c r="Y41" s="3" t="s">
        <v>129</v>
      </c>
      <c r="Z41" s="62"/>
      <c r="AB41" t="str">
        <f>O41</f>
        <v>Fund</v>
      </c>
      <c r="AC41" s="4" t="str">
        <f t="shared" si="2"/>
        <v>VFIAX</v>
      </c>
      <c r="AD41" s="4" t="str">
        <f t="shared" si="2"/>
        <v>VEXMX</v>
      </c>
      <c r="AE41" s="4" t="str">
        <f t="shared" si="2"/>
        <v>VIMAX</v>
      </c>
      <c r="AF41" s="4" t="str">
        <f t="shared" si="2"/>
        <v>VSMAX</v>
      </c>
      <c r="AG41" s="4" t="str">
        <f t="shared" si="2"/>
        <v>VTRIX</v>
      </c>
      <c r="AH41" s="4" t="str">
        <f t="shared" si="2"/>
        <v>VTIAX</v>
      </c>
      <c r="AI41" s="4" t="str">
        <f t="shared" si="2"/>
        <v>VBTLX</v>
      </c>
      <c r="AJ41" s="4" t="str">
        <f>W41</f>
        <v>Total</v>
      </c>
      <c r="AL41" t="s">
        <v>126</v>
      </c>
      <c r="AM41" s="4" t="str">
        <f>AC41</f>
        <v>VFIAX</v>
      </c>
      <c r="AN41" s="4" t="str">
        <f t="shared" si="3"/>
        <v>VEXMX</v>
      </c>
      <c r="AO41" s="4" t="str">
        <f t="shared" si="3"/>
        <v>VIMAX</v>
      </c>
      <c r="AP41" s="4" t="str">
        <f t="shared" si="3"/>
        <v>VSMAX</v>
      </c>
      <c r="AQ41" s="4" t="str">
        <f t="shared" si="3"/>
        <v>VTRIX</v>
      </c>
      <c r="AR41" s="4" t="str">
        <f t="shared" si="3"/>
        <v>VTIAX</v>
      </c>
      <c r="AS41" s="4" t="str">
        <f t="shared" si="3"/>
        <v>VBTLX</v>
      </c>
      <c r="AT41" s="4" t="str">
        <f t="shared" si="3"/>
        <v>Total</v>
      </c>
      <c r="AU41" t="s">
        <v>129</v>
      </c>
    </row>
    <row r="42" spans="1:47" x14ac:dyDescent="0.2">
      <c r="A42" t="s">
        <v>130</v>
      </c>
      <c r="B42" s="2">
        <f>'Non-Rebalanced Portfolio'!B42</f>
        <v>20000</v>
      </c>
      <c r="C42" s="2">
        <f>'Non-Rebalanced Portfolio'!C42</f>
        <v>25000</v>
      </c>
      <c r="F42" s="2">
        <f>'Non-Rebalanced Portfolio'!F42</f>
        <v>15000</v>
      </c>
      <c r="H42" s="2">
        <f>'Non-Rebalanced Portfolio'!H42</f>
        <v>40000</v>
      </c>
      <c r="I42" s="2">
        <f>SUM(B42:H42)</f>
        <v>100000</v>
      </c>
      <c r="O42" s="21" t="s">
        <v>131</v>
      </c>
      <c r="P42" s="22">
        <f>B42/$I42</f>
        <v>0.2</v>
      </c>
      <c r="Q42" s="22">
        <f>C42/$I42</f>
        <v>0.25</v>
      </c>
      <c r="R42" s="56">
        <f>'Non-Rebalanced Portfolio'!R42</f>
        <v>0.15</v>
      </c>
      <c r="S42" s="56">
        <f>'Non-Rebalanced Portfolio'!S42</f>
        <v>0.1</v>
      </c>
      <c r="T42" s="22">
        <f>F42/$I42</f>
        <v>0.15</v>
      </c>
      <c r="U42" s="56">
        <f>'Non-Rebalanced Portfolio'!U42</f>
        <v>0.15</v>
      </c>
      <c r="V42" s="22">
        <f>H42/$I42</f>
        <v>0.4</v>
      </c>
      <c r="W42" s="22">
        <f>I42/$I42</f>
        <v>1</v>
      </c>
      <c r="X42" s="24"/>
      <c r="Z42" s="22"/>
      <c r="AB42" s="21" t="str">
        <f>O42</f>
        <v>Target Allocation</v>
      </c>
      <c r="AC42" s="24">
        <f t="shared" si="2"/>
        <v>0.2</v>
      </c>
      <c r="AD42" s="24">
        <f t="shared" si="2"/>
        <v>0.25</v>
      </c>
      <c r="AE42" s="25">
        <f t="shared" si="2"/>
        <v>0.15</v>
      </c>
      <c r="AF42" s="25">
        <f t="shared" si="2"/>
        <v>0.1</v>
      </c>
      <c r="AG42" s="24">
        <f t="shared" si="2"/>
        <v>0.15</v>
      </c>
      <c r="AH42" s="25">
        <f t="shared" si="2"/>
        <v>0.15</v>
      </c>
      <c r="AI42" s="24">
        <f t="shared" si="2"/>
        <v>0.4</v>
      </c>
      <c r="AJ42" s="24">
        <f>W42</f>
        <v>1</v>
      </c>
      <c r="AL42" s="21" t="str">
        <f>AB42</f>
        <v>Target Allocation</v>
      </c>
      <c r="AM42" s="24">
        <f>AC42</f>
        <v>0.2</v>
      </c>
      <c r="AN42" s="24">
        <f t="shared" si="3"/>
        <v>0.25</v>
      </c>
      <c r="AO42" s="25">
        <f t="shared" si="3"/>
        <v>0.15</v>
      </c>
      <c r="AP42" s="25">
        <f t="shared" si="3"/>
        <v>0.1</v>
      </c>
      <c r="AQ42" s="24">
        <f t="shared" si="3"/>
        <v>0.15</v>
      </c>
      <c r="AR42" s="25">
        <f t="shared" si="3"/>
        <v>0.15</v>
      </c>
      <c r="AS42" s="24">
        <f t="shared" si="3"/>
        <v>0.4</v>
      </c>
      <c r="AT42" s="24">
        <f t="shared" si="3"/>
        <v>1</v>
      </c>
      <c r="AU42" s="2"/>
    </row>
    <row r="43" spans="1:47" x14ac:dyDescent="0.2">
      <c r="A43">
        <f t="shared" ref="A43:A73" si="4">A4</f>
        <v>1988</v>
      </c>
      <c r="B43" s="2">
        <f>B42*(1+(B4/100))</f>
        <v>23243.999999999996</v>
      </c>
      <c r="C43" s="2">
        <f>C42*(1+(C4/100))</f>
        <v>29936.75</v>
      </c>
      <c r="D43" s="2"/>
      <c r="E43" s="2"/>
      <c r="F43" s="2">
        <f>F42*(1+(F4/100))</f>
        <v>17816.7</v>
      </c>
      <c r="G43" s="2"/>
      <c r="H43" s="2">
        <f>H42*(1+(H4/100))</f>
        <v>42939.999999999993</v>
      </c>
      <c r="I43" s="2">
        <f>SUM(B43:H43)</f>
        <v>113937.44999999998</v>
      </c>
      <c r="J43" s="2">
        <f>I43-I42</f>
        <v>13937.449999999983</v>
      </c>
      <c r="K43" s="6">
        <f>(J43/I42)</f>
        <v>0.13937449999999982</v>
      </c>
      <c r="L43" s="7">
        <f>K43+1</f>
        <v>1.1393744999999997</v>
      </c>
      <c r="O43">
        <f>A43</f>
        <v>1988</v>
      </c>
      <c r="P43" s="6">
        <f t="shared" ref="P43:U67" si="5">B43/$I43</f>
        <v>0.20400667208191864</v>
      </c>
      <c r="Q43" s="6">
        <f t="shared" si="5"/>
        <v>0.26274723543488121</v>
      </c>
      <c r="R43" s="7"/>
      <c r="S43" s="7"/>
      <c r="T43" s="6">
        <f t="shared" ref="T43:T51" si="6">F43/$I43</f>
        <v>0.15637264130450526</v>
      </c>
      <c r="U43" s="7"/>
      <c r="V43" s="6">
        <f t="shared" ref="V43:V70" si="7">H43/$I43</f>
        <v>0.37687345117869497</v>
      </c>
      <c r="W43" s="6">
        <f>SUM(P43:V43)</f>
        <v>1</v>
      </c>
      <c r="X43" s="7">
        <f>SUM(P43:U43)</f>
        <v>0.62312654882130514</v>
      </c>
      <c r="Y43" s="7">
        <f>W43-(X43+V43)</f>
        <v>0</v>
      </c>
      <c r="Z43" s="6"/>
      <c r="AB43">
        <f>O43</f>
        <v>1988</v>
      </c>
      <c r="AC43" s="1" t="b">
        <f>AND((B43/$I43)&gt;0.15,(B43/$I43)&lt;0.25)</f>
        <v>1</v>
      </c>
      <c r="AD43" s="1" t="b">
        <f>AND((C43/$I43)&gt;0.25,(C43/$I43)&lt;0.35)</f>
        <v>1</v>
      </c>
      <c r="AG43" s="1" t="b">
        <f t="shared" ref="AG43:AG51" si="8">AND((F43/$I43)&gt;0.15,(F43/$I43)&lt;0.25)</f>
        <v>1</v>
      </c>
      <c r="AI43" s="1" t="b">
        <f>AND((H43/$I43)&gt;0.25,(H43/$I43)&lt;0.35)</f>
        <v>0</v>
      </c>
      <c r="AJ43" s="1" t="b">
        <f>AND((I43/$I43)&gt;0.999,(I43/$I43)&lt;1.01)</f>
        <v>1</v>
      </c>
      <c r="AL43">
        <f>A43</f>
        <v>1988</v>
      </c>
      <c r="AM43" s="2">
        <f t="shared" ref="AM43:AN53" si="9">$I43*AM$42</f>
        <v>22787.489999999998</v>
      </c>
      <c r="AN43" s="2">
        <f t="shared" si="9"/>
        <v>28484.362499999996</v>
      </c>
      <c r="AO43" s="2"/>
      <c r="AP43" s="2"/>
      <c r="AQ43" s="2">
        <f t="shared" ref="AQ43:AQ52" si="10">$I43*AQ$42</f>
        <v>17090.617499999997</v>
      </c>
      <c r="AR43" s="2"/>
      <c r="AS43" s="2">
        <f t="shared" ref="AS43:AS54" si="11">$I43*AS$42</f>
        <v>45574.979999999996</v>
      </c>
      <c r="AT43" s="2">
        <f>SUM(AM43:AS43)</f>
        <v>113937.44999999998</v>
      </c>
      <c r="AU43" s="2">
        <f>AT43-I43</f>
        <v>0</v>
      </c>
    </row>
    <row r="44" spans="1:47" x14ac:dyDescent="0.2">
      <c r="A44">
        <f t="shared" si="4"/>
        <v>1989</v>
      </c>
      <c r="B44" s="2">
        <f t="shared" ref="B44:B53" si="12">AM43*(1+(B5/100))</f>
        <v>29933.646863999998</v>
      </c>
      <c r="C44" s="2">
        <f t="shared" ref="C44:C53" si="13">AN43*(1+(C5/100))</f>
        <v>35347.954487999996</v>
      </c>
      <c r="D44" s="2"/>
      <c r="E44" s="2"/>
      <c r="F44" s="2">
        <f t="shared" ref="F44:F51" si="14">AQ43*(1+(F5/100))</f>
        <v>21529.221770924996</v>
      </c>
      <c r="G44" s="2"/>
      <c r="H44" s="2">
        <f t="shared" ref="H44:H70" si="15">AS43*(1+(H5/100))</f>
        <v>51791.407271999997</v>
      </c>
      <c r="I44" s="2">
        <f t="shared" ref="I44:I67" si="16">SUM(B44:H44)</f>
        <v>138602.23039492499</v>
      </c>
      <c r="J44" s="2">
        <f t="shared" ref="J44:J70" si="17">I44-I43</f>
        <v>24664.780394925008</v>
      </c>
      <c r="K44" s="6">
        <f t="shared" ref="K44:K70" si="18">(J44/I43)</f>
        <v>0.2164765000000001</v>
      </c>
      <c r="L44" s="7">
        <f t="shared" ref="L44:L70" si="19">K44+1</f>
        <v>1.2164765000000002</v>
      </c>
      <c r="O44">
        <f t="shared" ref="O44:O70" si="20">A44</f>
        <v>1989</v>
      </c>
      <c r="P44" s="6">
        <f t="shared" si="5"/>
        <v>0.21596800267000638</v>
      </c>
      <c r="Q44" s="6">
        <f t="shared" si="5"/>
        <v>0.25503164261701727</v>
      </c>
      <c r="R44" s="7"/>
      <c r="S44" s="7"/>
      <c r="T44" s="6">
        <f t="shared" si="6"/>
        <v>0.15533099077540749</v>
      </c>
      <c r="U44" s="7"/>
      <c r="V44" s="6">
        <f t="shared" si="7"/>
        <v>0.37366936393756889</v>
      </c>
      <c r="W44" s="6">
        <f t="shared" ref="W44:W67" si="21">SUM(P44:V44)</f>
        <v>1</v>
      </c>
      <c r="X44" s="7">
        <f t="shared" ref="X44:X67" si="22">SUM(P44:U44)</f>
        <v>0.62633063606243111</v>
      </c>
      <c r="Y44" s="7">
        <f t="shared" ref="Y44:Y70" si="23">W44-(X44+V44)</f>
        <v>0</v>
      </c>
      <c r="Z44" s="6"/>
      <c r="AB44">
        <f t="shared" ref="AB44:AB70" si="24">O44</f>
        <v>1989</v>
      </c>
      <c r="AC44" s="1" t="b">
        <f t="shared" ref="AC44:AC70" si="25">AND((B44/$I44)&gt;0.15,(B44/$I44)&lt;0.25)</f>
        <v>1</v>
      </c>
      <c r="AD44" s="1" t="b">
        <f t="shared" ref="AD44:AD53" si="26">AND((C44/$I44)&gt;0.25,(C44/$I44)&lt;0.35)</f>
        <v>1</v>
      </c>
      <c r="AG44" s="1" t="b">
        <f t="shared" si="8"/>
        <v>1</v>
      </c>
      <c r="AI44" s="1" t="b">
        <f t="shared" ref="AI44:AI70" si="27">AND((H44/$I44)&gt;0.25,(H44/$I44)&lt;0.35)</f>
        <v>0</v>
      </c>
      <c r="AJ44" s="1" t="b">
        <f t="shared" ref="AJ44:AJ70" si="28">AND((I44/$I44)&gt;0.999,(I44/$I44)&lt;1.01)</f>
        <v>1</v>
      </c>
      <c r="AL44">
        <f t="shared" ref="AL44:AL69" si="29">A44</f>
        <v>1989</v>
      </c>
      <c r="AM44" s="2">
        <f t="shared" si="9"/>
        <v>27720.446078984998</v>
      </c>
      <c r="AN44" s="2">
        <f t="shared" si="9"/>
        <v>34650.557598731248</v>
      </c>
      <c r="AO44" s="2"/>
      <c r="AP44" s="2"/>
      <c r="AQ44" s="2">
        <f t="shared" si="10"/>
        <v>20790.334559238749</v>
      </c>
      <c r="AR44" s="2"/>
      <c r="AS44" s="2">
        <f t="shared" si="11"/>
        <v>55440.892157969996</v>
      </c>
      <c r="AT44" s="2">
        <f t="shared" ref="AT44:AT67" si="30">I44</f>
        <v>138602.23039492499</v>
      </c>
      <c r="AU44" s="2">
        <f t="shared" ref="AU44:AU70" si="31">AT44-I44</f>
        <v>0</v>
      </c>
    </row>
    <row r="45" spans="1:47" x14ac:dyDescent="0.2">
      <c r="A45">
        <f t="shared" si="4"/>
        <v>1990</v>
      </c>
      <c r="B45" s="2">
        <f t="shared" si="12"/>
        <v>26800.127269162695</v>
      </c>
      <c r="C45" s="2">
        <f t="shared" si="13"/>
        <v>29783.886783989445</v>
      </c>
      <c r="D45" s="2"/>
      <c r="E45" s="2"/>
      <c r="F45" s="2">
        <f t="shared" si="14"/>
        <v>18241.439542276075</v>
      </c>
      <c r="G45" s="2"/>
      <c r="H45" s="2">
        <f t="shared" si="15"/>
        <v>60236.529329634403</v>
      </c>
      <c r="I45" s="2">
        <f t="shared" ref="I45:I51" si="32">SUM(B45:H45)</f>
        <v>135061.98292506262</v>
      </c>
      <c r="J45" s="2">
        <f t="shared" si="17"/>
        <v>-3540.2474698623701</v>
      </c>
      <c r="K45" s="6">
        <f t="shared" si="18"/>
        <v>-2.5542499999999989E-2</v>
      </c>
      <c r="L45" s="7">
        <f t="shared" si="19"/>
        <v>0.97445749999999998</v>
      </c>
      <c r="O45">
        <f t="shared" si="20"/>
        <v>1990</v>
      </c>
      <c r="P45" s="6">
        <f t="shared" si="5"/>
        <v>0.19842835629055139</v>
      </c>
      <c r="Q45" s="6">
        <f t="shared" si="5"/>
        <v>0.22052013556260791</v>
      </c>
      <c r="R45" s="7"/>
      <c r="S45" s="7"/>
      <c r="T45" s="6">
        <f t="shared" si="6"/>
        <v>0.13505976402254585</v>
      </c>
      <c r="U45" s="7"/>
      <c r="V45" s="6">
        <f t="shared" si="7"/>
        <v>0.44599174412429482</v>
      </c>
      <c r="W45" s="6">
        <f t="shared" si="21"/>
        <v>1</v>
      </c>
      <c r="X45" s="7">
        <f t="shared" si="22"/>
        <v>0.55400825587570512</v>
      </c>
      <c r="Y45" s="7">
        <f t="shared" si="23"/>
        <v>0</v>
      </c>
      <c r="Z45" s="6"/>
      <c r="AB45">
        <f t="shared" si="24"/>
        <v>1990</v>
      </c>
      <c r="AC45" s="1" t="b">
        <f t="shared" si="25"/>
        <v>1</v>
      </c>
      <c r="AD45" s="1" t="b">
        <f t="shared" si="26"/>
        <v>0</v>
      </c>
      <c r="AG45" s="1" t="b">
        <f t="shared" si="8"/>
        <v>0</v>
      </c>
      <c r="AI45" s="1" t="b">
        <f t="shared" si="27"/>
        <v>0</v>
      </c>
      <c r="AJ45" s="1" t="b">
        <f t="shared" si="28"/>
        <v>1</v>
      </c>
      <c r="AL45">
        <f t="shared" si="29"/>
        <v>1990</v>
      </c>
      <c r="AM45" s="2">
        <f t="shared" si="9"/>
        <v>27012.396585012524</v>
      </c>
      <c r="AN45" s="2">
        <f t="shared" si="9"/>
        <v>33765.495731265655</v>
      </c>
      <c r="AO45" s="2"/>
      <c r="AP45" s="2"/>
      <c r="AQ45" s="2">
        <f t="shared" si="10"/>
        <v>20259.297438759393</v>
      </c>
      <c r="AR45" s="2"/>
      <c r="AS45" s="2">
        <f t="shared" si="11"/>
        <v>54024.793170025048</v>
      </c>
      <c r="AT45" s="2">
        <f t="shared" si="30"/>
        <v>135061.98292506262</v>
      </c>
      <c r="AU45" s="2">
        <f t="shared" si="31"/>
        <v>0</v>
      </c>
    </row>
    <row r="46" spans="1:47" x14ac:dyDescent="0.2">
      <c r="A46">
        <f t="shared" si="4"/>
        <v>1991</v>
      </c>
      <c r="B46" s="2">
        <f t="shared" si="12"/>
        <v>35175.54283300331</v>
      </c>
      <c r="C46" s="2">
        <f t="shared" si="13"/>
        <v>47896.355694800332</v>
      </c>
      <c r="D46" s="2"/>
      <c r="E46" s="2"/>
      <c r="F46" s="2">
        <f t="shared" si="14"/>
        <v>22276.31309176228</v>
      </c>
      <c r="G46" s="2"/>
      <c r="H46" s="2">
        <f t="shared" si="15"/>
        <v>62263.574128453874</v>
      </c>
      <c r="I46" s="2">
        <f t="shared" si="32"/>
        <v>167611.78574801979</v>
      </c>
      <c r="J46" s="2">
        <f t="shared" si="17"/>
        <v>32549.802822957165</v>
      </c>
      <c r="K46" s="6">
        <f t="shared" si="18"/>
        <v>0.24099899999999999</v>
      </c>
      <c r="L46" s="7">
        <f t="shared" si="19"/>
        <v>1.240999</v>
      </c>
      <c r="O46">
        <f t="shared" si="20"/>
        <v>1991</v>
      </c>
      <c r="P46" s="6">
        <f t="shared" si="5"/>
        <v>0.20986318280675489</v>
      </c>
      <c r="Q46" s="6">
        <f t="shared" si="5"/>
        <v>0.28575768393044637</v>
      </c>
      <c r="R46" s="7"/>
      <c r="S46" s="7"/>
      <c r="T46" s="6">
        <f t="shared" si="6"/>
        <v>0.13290421668349453</v>
      </c>
      <c r="U46" s="7"/>
      <c r="V46" s="6">
        <f t="shared" si="7"/>
        <v>0.37147491657930432</v>
      </c>
      <c r="W46" s="6">
        <f t="shared" si="21"/>
        <v>1</v>
      </c>
      <c r="X46" s="7">
        <f t="shared" si="22"/>
        <v>0.6285250834206958</v>
      </c>
      <c r="Y46" s="7">
        <f t="shared" si="23"/>
        <v>0</v>
      </c>
      <c r="Z46" s="6"/>
      <c r="AB46">
        <f t="shared" si="24"/>
        <v>1991</v>
      </c>
      <c r="AC46" s="1" t="b">
        <f t="shared" si="25"/>
        <v>1</v>
      </c>
      <c r="AD46" s="1" t="b">
        <f t="shared" si="26"/>
        <v>1</v>
      </c>
      <c r="AG46" s="1" t="b">
        <f t="shared" si="8"/>
        <v>0</v>
      </c>
      <c r="AI46" s="1" t="b">
        <f t="shared" si="27"/>
        <v>0</v>
      </c>
      <c r="AJ46" s="1" t="b">
        <f t="shared" si="28"/>
        <v>1</v>
      </c>
      <c r="AL46">
        <f t="shared" si="29"/>
        <v>1991</v>
      </c>
      <c r="AM46" s="2">
        <f t="shared" si="9"/>
        <v>33522.357149603959</v>
      </c>
      <c r="AN46" s="2">
        <f t="shared" si="9"/>
        <v>41902.946437004946</v>
      </c>
      <c r="AO46" s="2"/>
      <c r="AP46" s="2"/>
      <c r="AQ46" s="2">
        <f t="shared" si="10"/>
        <v>25141.767862202967</v>
      </c>
      <c r="AR46" s="2"/>
      <c r="AS46" s="2">
        <f t="shared" si="11"/>
        <v>67044.714299207917</v>
      </c>
      <c r="AT46" s="2">
        <f t="shared" si="30"/>
        <v>167611.78574801979</v>
      </c>
      <c r="AU46" s="2">
        <f t="shared" si="31"/>
        <v>0</v>
      </c>
    </row>
    <row r="47" spans="1:47" x14ac:dyDescent="0.2">
      <c r="A47">
        <f t="shared" si="4"/>
        <v>1992</v>
      </c>
      <c r="B47" s="2">
        <f t="shared" si="12"/>
        <v>36009.716050104573</v>
      </c>
      <c r="C47" s="2">
        <f t="shared" si="13"/>
        <v>47126.567739841979</v>
      </c>
      <c r="D47" s="2"/>
      <c r="E47" s="2"/>
      <c r="F47" s="2">
        <f t="shared" si="14"/>
        <v>22949.154286940247</v>
      </c>
      <c r="G47" s="2"/>
      <c r="H47" s="2">
        <f t="shared" si="15"/>
        <v>71831.706900171353</v>
      </c>
      <c r="I47" s="2">
        <f t="shared" si="32"/>
        <v>177917.14497705817</v>
      </c>
      <c r="J47" s="2">
        <f t="shared" si="17"/>
        <v>10305.359229038382</v>
      </c>
      <c r="K47" s="6">
        <f t="shared" si="18"/>
        <v>6.1483500000000045E-2</v>
      </c>
      <c r="L47" s="7">
        <f t="shared" si="19"/>
        <v>1.0614835</v>
      </c>
      <c r="O47">
        <f t="shared" si="20"/>
        <v>1992</v>
      </c>
      <c r="P47" s="6">
        <f t="shared" si="5"/>
        <v>0.20239598637190309</v>
      </c>
      <c r="Q47" s="6">
        <f t="shared" si="5"/>
        <v>0.26487929393155896</v>
      </c>
      <c r="R47" s="7"/>
      <c r="S47" s="7"/>
      <c r="T47" s="38">
        <f t="shared" si="6"/>
        <v>0.12898787404608739</v>
      </c>
      <c r="U47" s="7"/>
      <c r="V47" s="6">
        <f t="shared" si="7"/>
        <v>0.40373684565045048</v>
      </c>
      <c r="W47" s="6">
        <f t="shared" si="21"/>
        <v>1</v>
      </c>
      <c r="X47" s="7">
        <f t="shared" si="22"/>
        <v>0.59626315434954946</v>
      </c>
      <c r="Y47" s="7">
        <f t="shared" si="23"/>
        <v>0</v>
      </c>
      <c r="Z47" s="6"/>
      <c r="AB47">
        <f t="shared" si="24"/>
        <v>1992</v>
      </c>
      <c r="AC47" s="1" t="b">
        <f t="shared" si="25"/>
        <v>1</v>
      </c>
      <c r="AD47" s="1" t="b">
        <f t="shared" si="26"/>
        <v>1</v>
      </c>
      <c r="AG47" s="39" t="b">
        <f t="shared" si="8"/>
        <v>0</v>
      </c>
      <c r="AI47" s="1" t="b">
        <f t="shared" si="27"/>
        <v>0</v>
      </c>
      <c r="AJ47" s="1" t="b">
        <f t="shared" si="28"/>
        <v>1</v>
      </c>
      <c r="AL47">
        <f t="shared" si="29"/>
        <v>1992</v>
      </c>
      <c r="AM47" s="2">
        <f t="shared" si="9"/>
        <v>35583.428995411632</v>
      </c>
      <c r="AN47" s="2">
        <f t="shared" si="9"/>
        <v>44479.286244264542</v>
      </c>
      <c r="AO47" s="2"/>
      <c r="AP47" s="2"/>
      <c r="AQ47" s="2">
        <f t="shared" si="10"/>
        <v>26687.571746558726</v>
      </c>
      <c r="AR47" s="2"/>
      <c r="AS47" s="2">
        <f t="shared" si="11"/>
        <v>71166.857990823264</v>
      </c>
      <c r="AT47" s="2">
        <f t="shared" si="30"/>
        <v>177917.14497705817</v>
      </c>
      <c r="AU47" s="2">
        <f t="shared" si="31"/>
        <v>0</v>
      </c>
    </row>
    <row r="48" spans="1:47" x14ac:dyDescent="0.2">
      <c r="A48">
        <f t="shared" si="4"/>
        <v>1993</v>
      </c>
      <c r="B48" s="2">
        <f t="shared" si="12"/>
        <v>39102.630123057839</v>
      </c>
      <c r="C48" s="2">
        <f t="shared" si="13"/>
        <v>50924.334821058474</v>
      </c>
      <c r="D48" s="2"/>
      <c r="E48" s="2"/>
      <c r="F48" s="2">
        <f t="shared" si="14"/>
        <v>34825.679874954345</v>
      </c>
      <c r="G48" s="2"/>
      <c r="H48" s="2">
        <f t="shared" si="15"/>
        <v>78055.809844334959</v>
      </c>
      <c r="I48" s="2">
        <f t="shared" ref="I48" si="33">SUM(B48:H48)</f>
        <v>202908.4546634056</v>
      </c>
      <c r="J48" s="2">
        <f t="shared" si="17"/>
        <v>24991.309686347435</v>
      </c>
      <c r="K48" s="6">
        <f t="shared" si="18"/>
        <v>0.1404659999999999</v>
      </c>
      <c r="L48" s="7">
        <f t="shared" si="19"/>
        <v>1.140466</v>
      </c>
      <c r="O48">
        <f t="shared" si="20"/>
        <v>1993</v>
      </c>
      <c r="P48" s="6">
        <f t="shared" si="5"/>
        <v>0.19271069895989884</v>
      </c>
      <c r="Q48" s="6">
        <f t="shared" si="5"/>
        <v>0.25097197110654768</v>
      </c>
      <c r="R48" s="7"/>
      <c r="S48" s="7"/>
      <c r="T48" s="6">
        <f t="shared" si="6"/>
        <v>0.17163247304172158</v>
      </c>
      <c r="U48" s="7"/>
      <c r="V48" s="6">
        <f t="shared" si="7"/>
        <v>0.38468485689183196</v>
      </c>
      <c r="W48" s="6">
        <f t="shared" si="21"/>
        <v>1</v>
      </c>
      <c r="X48" s="7">
        <f t="shared" si="22"/>
        <v>0.61531514310816804</v>
      </c>
      <c r="Y48" s="7">
        <f t="shared" si="23"/>
        <v>0</v>
      </c>
      <c r="Z48" s="6"/>
      <c r="AB48">
        <f t="shared" si="24"/>
        <v>1993</v>
      </c>
      <c r="AC48" s="1" t="b">
        <f t="shared" si="25"/>
        <v>1</v>
      </c>
      <c r="AD48" s="1" t="b">
        <f t="shared" si="26"/>
        <v>1</v>
      </c>
      <c r="AG48" s="1" t="b">
        <f t="shared" si="8"/>
        <v>1</v>
      </c>
      <c r="AI48" s="1" t="b">
        <f t="shared" si="27"/>
        <v>0</v>
      </c>
      <c r="AJ48" s="1" t="b">
        <f t="shared" si="28"/>
        <v>1</v>
      </c>
      <c r="AL48">
        <f t="shared" si="29"/>
        <v>1993</v>
      </c>
      <c r="AM48" s="2">
        <f t="shared" si="9"/>
        <v>40581.690932681122</v>
      </c>
      <c r="AN48" s="2">
        <f t="shared" si="9"/>
        <v>50727.113665851401</v>
      </c>
      <c r="AO48" s="2"/>
      <c r="AP48" s="2"/>
      <c r="AQ48" s="2">
        <f t="shared" si="10"/>
        <v>30436.26819951084</v>
      </c>
      <c r="AR48" s="2"/>
      <c r="AS48" s="2">
        <f t="shared" si="11"/>
        <v>81163.381865362244</v>
      </c>
      <c r="AT48" s="2">
        <f t="shared" si="30"/>
        <v>202908.4546634056</v>
      </c>
      <c r="AU48" s="2">
        <f t="shared" si="31"/>
        <v>0</v>
      </c>
    </row>
    <row r="49" spans="1:47" x14ac:dyDescent="0.2">
      <c r="A49">
        <f t="shared" si="4"/>
        <v>1994</v>
      </c>
      <c r="B49" s="2">
        <f t="shared" si="12"/>
        <v>41060.554885686761</v>
      </c>
      <c r="C49" s="2">
        <f t="shared" si="13"/>
        <v>49832.287380785783</v>
      </c>
      <c r="D49" s="2"/>
      <c r="E49" s="2"/>
      <c r="F49" s="2">
        <f t="shared" si="14"/>
        <v>32035.694093395137</v>
      </c>
      <c r="G49" s="2"/>
      <c r="H49" s="2">
        <f t="shared" si="15"/>
        <v>79004.435907743609</v>
      </c>
      <c r="I49" s="2">
        <f t="shared" si="32"/>
        <v>201932.9722676113</v>
      </c>
      <c r="J49" s="2">
        <f t="shared" si="17"/>
        <v>-975.48239579430083</v>
      </c>
      <c r="K49" s="6">
        <f t="shared" si="18"/>
        <v>-4.8074999999998935E-3</v>
      </c>
      <c r="L49" s="7">
        <f t="shared" si="19"/>
        <v>0.99519250000000015</v>
      </c>
      <c r="O49">
        <f t="shared" si="20"/>
        <v>1994</v>
      </c>
      <c r="P49" s="6">
        <f t="shared" si="5"/>
        <v>0.20333754524878353</v>
      </c>
      <c r="Q49" s="6">
        <f t="shared" si="5"/>
        <v>0.24677637743451641</v>
      </c>
      <c r="R49" s="7"/>
      <c r="S49" s="7"/>
      <c r="T49" s="6">
        <f t="shared" si="6"/>
        <v>0.15864518673522962</v>
      </c>
      <c r="U49" s="7"/>
      <c r="V49" s="6">
        <f t="shared" si="7"/>
        <v>0.39124089058147038</v>
      </c>
      <c r="W49" s="6">
        <f t="shared" si="21"/>
        <v>1</v>
      </c>
      <c r="X49" s="7">
        <f t="shared" si="22"/>
        <v>0.60875910941852962</v>
      </c>
      <c r="Y49" s="7">
        <f t="shared" si="23"/>
        <v>0</v>
      </c>
      <c r="Z49" s="6"/>
      <c r="AB49">
        <f t="shared" si="24"/>
        <v>1994</v>
      </c>
      <c r="AC49" s="1" t="b">
        <f t="shared" si="25"/>
        <v>1</v>
      </c>
      <c r="AD49" s="1" t="b">
        <f t="shared" si="26"/>
        <v>0</v>
      </c>
      <c r="AG49" s="1" t="b">
        <f t="shared" si="8"/>
        <v>1</v>
      </c>
      <c r="AI49" s="1" t="b">
        <f t="shared" si="27"/>
        <v>0</v>
      </c>
      <c r="AJ49" s="1" t="b">
        <f t="shared" si="28"/>
        <v>1</v>
      </c>
      <c r="AL49">
        <f t="shared" si="29"/>
        <v>1994</v>
      </c>
      <c r="AM49" s="2">
        <f t="shared" si="9"/>
        <v>40386.594453522266</v>
      </c>
      <c r="AN49" s="2">
        <f t="shared" si="9"/>
        <v>50483.243066902825</v>
      </c>
      <c r="AO49" s="2"/>
      <c r="AP49" s="2"/>
      <c r="AQ49" s="2">
        <f t="shared" si="10"/>
        <v>30289.945840141692</v>
      </c>
      <c r="AR49" s="2"/>
      <c r="AS49" s="2">
        <f t="shared" si="11"/>
        <v>80773.188907044532</v>
      </c>
      <c r="AT49" s="2">
        <f t="shared" si="30"/>
        <v>201932.9722676113</v>
      </c>
      <c r="AU49" s="2">
        <f t="shared" si="31"/>
        <v>0</v>
      </c>
    </row>
    <row r="50" spans="1:47" x14ac:dyDescent="0.2">
      <c r="A50">
        <f t="shared" si="4"/>
        <v>1995</v>
      </c>
      <c r="B50" s="2">
        <f t="shared" si="12"/>
        <v>55511.374076366359</v>
      </c>
      <c r="C50" s="2">
        <f t="shared" si="13"/>
        <v>67545.064726223965</v>
      </c>
      <c r="D50" s="2"/>
      <c r="E50" s="2"/>
      <c r="F50" s="2">
        <f t="shared" si="14"/>
        <v>33211.714015881756</v>
      </c>
      <c r="G50" s="2"/>
      <c r="H50" s="2">
        <f t="shared" si="15"/>
        <v>95457.754650345232</v>
      </c>
      <c r="I50" s="2">
        <f t="shared" si="32"/>
        <v>251725.90746881731</v>
      </c>
      <c r="J50" s="2">
        <f t="shared" si="17"/>
        <v>49792.935201206012</v>
      </c>
      <c r="K50" s="6">
        <f t="shared" si="18"/>
        <v>0.24658150000000006</v>
      </c>
      <c r="L50" s="7">
        <f t="shared" si="19"/>
        <v>1.2465815</v>
      </c>
      <c r="O50">
        <f t="shared" si="20"/>
        <v>1995</v>
      </c>
      <c r="P50" s="6">
        <f t="shared" si="5"/>
        <v>0.2205230865370616</v>
      </c>
      <c r="Q50" s="6">
        <f t="shared" si="5"/>
        <v>0.26832782293014934</v>
      </c>
      <c r="R50" s="7"/>
      <c r="S50" s="7"/>
      <c r="T50" s="6">
        <f t="shared" si="6"/>
        <v>0.13193601862373214</v>
      </c>
      <c r="U50" s="7"/>
      <c r="V50" s="6">
        <f t="shared" si="7"/>
        <v>0.37921307190905695</v>
      </c>
      <c r="W50" s="6">
        <f t="shared" si="21"/>
        <v>1</v>
      </c>
      <c r="X50" s="7">
        <f t="shared" si="22"/>
        <v>0.62078692809094305</v>
      </c>
      <c r="Y50" s="7">
        <f t="shared" si="23"/>
        <v>0</v>
      </c>
      <c r="Z50" s="6"/>
      <c r="AB50">
        <f t="shared" si="24"/>
        <v>1995</v>
      </c>
      <c r="AC50" s="1" t="b">
        <f t="shared" si="25"/>
        <v>1</v>
      </c>
      <c r="AD50" s="1" t="b">
        <f t="shared" si="26"/>
        <v>1</v>
      </c>
      <c r="AG50" s="1" t="b">
        <f t="shared" si="8"/>
        <v>0</v>
      </c>
      <c r="AI50" s="1" t="b">
        <f t="shared" si="27"/>
        <v>0</v>
      </c>
      <c r="AJ50" s="1" t="b">
        <f t="shared" si="28"/>
        <v>1</v>
      </c>
      <c r="AL50">
        <f t="shared" si="29"/>
        <v>1995</v>
      </c>
      <c r="AM50" s="2">
        <f t="shared" si="9"/>
        <v>50345.181493763463</v>
      </c>
      <c r="AN50" s="2">
        <f t="shared" si="9"/>
        <v>62931.476867204328</v>
      </c>
      <c r="AO50" s="2"/>
      <c r="AP50" s="2"/>
      <c r="AQ50" s="2">
        <f t="shared" si="10"/>
        <v>37758.886120322597</v>
      </c>
      <c r="AR50" s="2"/>
      <c r="AS50" s="2">
        <f t="shared" si="11"/>
        <v>100690.36298752693</v>
      </c>
      <c r="AT50" s="2">
        <f t="shared" si="30"/>
        <v>251725.90746881731</v>
      </c>
      <c r="AU50" s="2">
        <f t="shared" si="31"/>
        <v>0</v>
      </c>
    </row>
    <row r="51" spans="1:47" x14ac:dyDescent="0.2">
      <c r="A51">
        <f t="shared" si="4"/>
        <v>1996</v>
      </c>
      <c r="B51" s="2">
        <f t="shared" si="12"/>
        <v>61864.15901953655</v>
      </c>
      <c r="C51" s="2">
        <f t="shared" si="13"/>
        <v>74036.994589959868</v>
      </c>
      <c r="D51" s="2"/>
      <c r="E51" s="2"/>
      <c r="F51" s="2">
        <f t="shared" si="14"/>
        <v>41617.466692958362</v>
      </c>
      <c r="G51" s="2"/>
      <c r="H51" s="2">
        <f t="shared" si="15"/>
        <v>104295.07798248039</v>
      </c>
      <c r="I51" s="2">
        <f t="shared" si="32"/>
        <v>281813.69828493521</v>
      </c>
      <c r="J51" s="2">
        <f t="shared" si="17"/>
        <v>30087.790816117893</v>
      </c>
      <c r="K51" s="6">
        <f t="shared" si="18"/>
        <v>0.11952600000000013</v>
      </c>
      <c r="L51" s="7">
        <f t="shared" si="19"/>
        <v>1.119526</v>
      </c>
      <c r="O51">
        <f t="shared" si="20"/>
        <v>1996</v>
      </c>
      <c r="P51" s="6">
        <f t="shared" si="5"/>
        <v>0.21952147605325825</v>
      </c>
      <c r="Q51" s="6">
        <f t="shared" si="5"/>
        <v>0.26271609591916573</v>
      </c>
      <c r="R51" s="7"/>
      <c r="S51" s="7"/>
      <c r="T51" s="6">
        <f t="shared" si="6"/>
        <v>0.14767723125679974</v>
      </c>
      <c r="U51" s="6"/>
      <c r="V51" s="38">
        <f t="shared" si="7"/>
        <v>0.37008519677077617</v>
      </c>
      <c r="W51" s="6">
        <f t="shared" si="21"/>
        <v>1</v>
      </c>
      <c r="X51" s="7">
        <f t="shared" si="22"/>
        <v>0.62991480322922377</v>
      </c>
      <c r="Y51" s="7">
        <f t="shared" si="23"/>
        <v>0</v>
      </c>
      <c r="Z51" s="6"/>
      <c r="AB51">
        <f t="shared" si="24"/>
        <v>1996</v>
      </c>
      <c r="AC51" s="1" t="b">
        <f t="shared" si="25"/>
        <v>1</v>
      </c>
      <c r="AD51" s="1" t="b">
        <f t="shared" si="26"/>
        <v>1</v>
      </c>
      <c r="AG51" s="1" t="b">
        <f t="shared" si="8"/>
        <v>0</v>
      </c>
      <c r="AI51" s="39" t="b">
        <f t="shared" si="27"/>
        <v>0</v>
      </c>
      <c r="AJ51" s="1" t="b">
        <f t="shared" si="28"/>
        <v>1</v>
      </c>
      <c r="AL51">
        <f t="shared" si="29"/>
        <v>1996</v>
      </c>
      <c r="AM51" s="2">
        <f t="shared" si="9"/>
        <v>56362.739656987047</v>
      </c>
      <c r="AN51" s="2">
        <f t="shared" si="9"/>
        <v>70453.424571233802</v>
      </c>
      <c r="AO51" s="2"/>
      <c r="AP51" s="2"/>
      <c r="AQ51" s="2">
        <f t="shared" si="10"/>
        <v>42272.054742740278</v>
      </c>
      <c r="AR51" s="2"/>
      <c r="AS51" s="2">
        <f t="shared" si="11"/>
        <v>112725.47931397409</v>
      </c>
      <c r="AT51" s="2">
        <f t="shared" si="30"/>
        <v>281813.69828493521</v>
      </c>
      <c r="AU51" s="2">
        <f t="shared" si="31"/>
        <v>0</v>
      </c>
    </row>
    <row r="52" spans="1:47" x14ac:dyDescent="0.2">
      <c r="A52">
        <f t="shared" si="4"/>
        <v>1997</v>
      </c>
      <c r="B52" s="2">
        <f t="shared" si="12"/>
        <v>75069.532949141052</v>
      </c>
      <c r="C52" s="2">
        <f t="shared" si="13"/>
        <v>89255.329986558965</v>
      </c>
      <c r="D52" s="2"/>
      <c r="E52" s="2"/>
      <c r="F52" s="2"/>
      <c r="G52" s="2">
        <f>AQ51*(1+(G13/100))</f>
        <v>41944.446318484042</v>
      </c>
      <c r="H52" s="2">
        <f t="shared" si="15"/>
        <v>123366.76456121325</v>
      </c>
      <c r="I52" s="2">
        <f t="shared" si="16"/>
        <v>329636.07381539734</v>
      </c>
      <c r="J52" s="2">
        <f t="shared" si="17"/>
        <v>47822.37553046213</v>
      </c>
      <c r="K52" s="6">
        <f t="shared" si="18"/>
        <v>0.16969500000000018</v>
      </c>
      <c r="L52" s="7">
        <f t="shared" si="19"/>
        <v>1.1696950000000002</v>
      </c>
      <c r="O52">
        <f t="shared" si="20"/>
        <v>1997</v>
      </c>
      <c r="P52" s="6">
        <f t="shared" si="5"/>
        <v>0.2277345803820654</v>
      </c>
      <c r="Q52" s="6">
        <f t="shared" si="5"/>
        <v>0.27076930310893005</v>
      </c>
      <c r="R52" s="7"/>
      <c r="S52" s="7"/>
      <c r="T52" s="6"/>
      <c r="U52" s="6">
        <f t="shared" si="5"/>
        <v>0.12724470909083135</v>
      </c>
      <c r="V52" s="6">
        <f t="shared" si="7"/>
        <v>0.37425140741817309</v>
      </c>
      <c r="W52" s="6">
        <f t="shared" si="21"/>
        <v>0.99999999999999989</v>
      </c>
      <c r="X52" s="7">
        <f t="shared" si="22"/>
        <v>0.6257485925818268</v>
      </c>
      <c r="Y52" s="7">
        <f t="shared" si="23"/>
        <v>0</v>
      </c>
      <c r="Z52" s="6"/>
      <c r="AB52">
        <f t="shared" si="24"/>
        <v>1997</v>
      </c>
      <c r="AC52" s="1" t="b">
        <f t="shared" si="25"/>
        <v>1</v>
      </c>
      <c r="AD52" s="1" t="b">
        <f t="shared" si="26"/>
        <v>1</v>
      </c>
      <c r="AG52" s="1"/>
      <c r="AH52" s="1" t="b">
        <f t="shared" ref="AH52:AH70" si="34">AND((G52/$I52)&gt;0.15,(G52/$I52)&lt;0.25)</f>
        <v>0</v>
      </c>
      <c r="AI52" s="1" t="b">
        <f t="shared" si="27"/>
        <v>0</v>
      </c>
      <c r="AJ52" s="1" t="b">
        <f t="shared" si="28"/>
        <v>1</v>
      </c>
      <c r="AL52">
        <f t="shared" si="29"/>
        <v>1997</v>
      </c>
      <c r="AM52" s="2">
        <f t="shared" si="9"/>
        <v>65927.214763079464</v>
      </c>
      <c r="AN52" s="2">
        <f t="shared" si="9"/>
        <v>82409.018453849334</v>
      </c>
      <c r="AO52" s="2"/>
      <c r="AP52" s="2"/>
      <c r="AQ52" s="2">
        <f t="shared" si="10"/>
        <v>49445.411072309602</v>
      </c>
      <c r="AR52" s="2"/>
      <c r="AS52" s="2">
        <f t="shared" si="11"/>
        <v>131854.42952615893</v>
      </c>
      <c r="AT52" s="2">
        <f t="shared" si="30"/>
        <v>329636.07381539734</v>
      </c>
      <c r="AU52" s="2">
        <f t="shared" si="31"/>
        <v>0</v>
      </c>
    </row>
    <row r="53" spans="1:47" x14ac:dyDescent="0.2">
      <c r="A53">
        <f t="shared" si="4"/>
        <v>1998</v>
      </c>
      <c r="B53" s="2">
        <f t="shared" si="12"/>
        <v>84821.95451417804</v>
      </c>
      <c r="C53" s="2">
        <f t="shared" si="13"/>
        <v>89292.643765299377</v>
      </c>
      <c r="D53" s="2"/>
      <c r="E53" s="2"/>
      <c r="F53" s="2"/>
      <c r="G53" s="2">
        <f t="shared" ref="G53:G70" si="35">AR52*(1+(G14/100))</f>
        <v>0</v>
      </c>
      <c r="H53" s="2">
        <f t="shared" si="15"/>
        <v>143167.53957950338</v>
      </c>
      <c r="I53" s="2">
        <f t="shared" si="16"/>
        <v>317282.1378589808</v>
      </c>
      <c r="J53" s="2">
        <f t="shared" si="17"/>
        <v>-12353.935956416535</v>
      </c>
      <c r="K53" s="6">
        <f t="shared" si="18"/>
        <v>-3.7477499999999941E-2</v>
      </c>
      <c r="L53" s="7">
        <f t="shared" si="19"/>
        <v>0.96252250000000006</v>
      </c>
      <c r="O53">
        <f t="shared" si="20"/>
        <v>1998</v>
      </c>
      <c r="P53" s="38">
        <f t="shared" si="5"/>
        <v>0.2673392050575441</v>
      </c>
      <c r="Q53" s="6">
        <f t="shared" si="5"/>
        <v>0.2814297847582784</v>
      </c>
      <c r="R53" s="7"/>
      <c r="S53" s="7"/>
      <c r="T53" s="7"/>
      <c r="U53" s="6">
        <f t="shared" si="5"/>
        <v>0</v>
      </c>
      <c r="V53" s="6">
        <f t="shared" si="7"/>
        <v>0.45123101018417755</v>
      </c>
      <c r="W53" s="6">
        <f t="shared" si="21"/>
        <v>1</v>
      </c>
      <c r="X53" s="7">
        <f t="shared" si="22"/>
        <v>0.54876898981582256</v>
      </c>
      <c r="Y53" s="7">
        <f t="shared" si="23"/>
        <v>0</v>
      </c>
      <c r="Z53" s="6"/>
      <c r="AB53">
        <f t="shared" si="24"/>
        <v>1998</v>
      </c>
      <c r="AC53" s="39" t="b">
        <f t="shared" si="25"/>
        <v>0</v>
      </c>
      <c r="AD53" s="1" t="b">
        <f t="shared" si="26"/>
        <v>1</v>
      </c>
      <c r="AH53" s="1" t="b">
        <f t="shared" si="34"/>
        <v>0</v>
      </c>
      <c r="AI53" s="1" t="b">
        <f t="shared" si="27"/>
        <v>0</v>
      </c>
      <c r="AJ53" s="1" t="b">
        <f t="shared" si="28"/>
        <v>1</v>
      </c>
      <c r="AL53">
        <f t="shared" si="29"/>
        <v>1998</v>
      </c>
      <c r="AM53" s="2">
        <f t="shared" si="9"/>
        <v>63456.427571796165</v>
      </c>
      <c r="AN53" s="2">
        <f t="shared" si="9"/>
        <v>79320.5344647452</v>
      </c>
      <c r="AO53" s="2"/>
      <c r="AP53" s="2"/>
      <c r="AQ53" s="2"/>
      <c r="AR53" s="2">
        <f>$I53*AR$42</f>
        <v>47592.320678847122</v>
      </c>
      <c r="AS53" s="2">
        <f t="shared" si="11"/>
        <v>126912.85514359233</v>
      </c>
      <c r="AT53" s="2">
        <f t="shared" si="30"/>
        <v>317282.1378589808</v>
      </c>
      <c r="AU53" s="2">
        <f t="shared" si="31"/>
        <v>0</v>
      </c>
    </row>
    <row r="54" spans="1:47" x14ac:dyDescent="0.2">
      <c r="A54">
        <f t="shared" si="4"/>
        <v>1999</v>
      </c>
      <c r="B54" s="2">
        <f t="shared" ref="B54:B73" si="36">AM53*(1+(B15/100))</f>
        <v>76826.696861173623</v>
      </c>
      <c r="C54" s="2"/>
      <c r="D54" s="2">
        <f>(AN53*0.6)*(1+(D15/100))</f>
        <v>54882.988283639708</v>
      </c>
      <c r="E54" s="2">
        <f>(AN53*0.4)*(1+(E15/100))</f>
        <v>39067.901480989887</v>
      </c>
      <c r="F54" s="2"/>
      <c r="G54" s="2">
        <f t="shared" si="35"/>
        <v>61831.467102751398</v>
      </c>
      <c r="H54" s="2">
        <f t="shared" si="15"/>
        <v>125948.31744450102</v>
      </c>
      <c r="I54" s="2">
        <f t="shared" si="16"/>
        <v>358557.37117305561</v>
      </c>
      <c r="J54" s="2">
        <f t="shared" si="17"/>
        <v>41275.233314074809</v>
      </c>
      <c r="K54" s="6">
        <f t="shared" si="18"/>
        <v>0.13008999999999998</v>
      </c>
      <c r="L54" s="7">
        <f t="shared" si="19"/>
        <v>1.13009</v>
      </c>
      <c r="O54">
        <f t="shared" si="20"/>
        <v>1999</v>
      </c>
      <c r="P54" s="6">
        <f t="shared" si="5"/>
        <v>0.21426612039749049</v>
      </c>
      <c r="Q54" s="7"/>
      <c r="R54" s="6">
        <f t="shared" si="5"/>
        <v>0.15306612747657267</v>
      </c>
      <c r="S54" s="6">
        <f t="shared" si="5"/>
        <v>0.10895857852029486</v>
      </c>
      <c r="T54" s="7"/>
      <c r="U54" s="6">
        <f t="shared" si="5"/>
        <v>0.17244511499084145</v>
      </c>
      <c r="V54" s="6">
        <f t="shared" si="7"/>
        <v>0.35126405861480059</v>
      </c>
      <c r="W54" s="6">
        <f t="shared" si="21"/>
        <v>1</v>
      </c>
      <c r="X54" s="7">
        <f t="shared" si="22"/>
        <v>0.64873594138519952</v>
      </c>
      <c r="Y54" s="7">
        <f t="shared" si="23"/>
        <v>0</v>
      </c>
      <c r="Z54" s="6"/>
      <c r="AB54">
        <f t="shared" si="24"/>
        <v>1999</v>
      </c>
      <c r="AC54" s="1" t="b">
        <f t="shared" si="25"/>
        <v>1</v>
      </c>
      <c r="AE54" s="1" t="b">
        <f>AND((D54/$I54)&gt;0.15,(D54/$I54)&lt;0.25)</f>
        <v>1</v>
      </c>
      <c r="AF54" s="1" t="b">
        <f>AND((E54/$I54)&gt;0.05,(E54/$I54)&lt;0.15)</f>
        <v>1</v>
      </c>
      <c r="AH54" s="1" t="b">
        <f t="shared" si="34"/>
        <v>1</v>
      </c>
      <c r="AI54" s="1" t="b">
        <f t="shared" si="27"/>
        <v>0</v>
      </c>
      <c r="AJ54" s="1" t="b">
        <f t="shared" si="28"/>
        <v>1</v>
      </c>
      <c r="AL54">
        <f t="shared" si="29"/>
        <v>1999</v>
      </c>
      <c r="AM54" s="2">
        <f>$I54*AM$42</f>
        <v>71711.474234611131</v>
      </c>
      <c r="AN54" s="2"/>
      <c r="AO54" s="2">
        <f t="shared" ref="AO54:AP69" si="37">$I54*AO$42</f>
        <v>53783.605675958337</v>
      </c>
      <c r="AP54" s="2">
        <f t="shared" si="37"/>
        <v>35855.737117305565</v>
      </c>
      <c r="AQ54" s="2"/>
      <c r="AR54" s="2">
        <f>$I54*AR$42</f>
        <v>53783.605675958337</v>
      </c>
      <c r="AS54" s="2">
        <f t="shared" si="11"/>
        <v>143422.94846922226</v>
      </c>
      <c r="AT54" s="2">
        <f t="shared" si="30"/>
        <v>358557.37117305561</v>
      </c>
      <c r="AU54" s="2">
        <f t="shared" si="31"/>
        <v>0</v>
      </c>
    </row>
    <row r="55" spans="1:47" x14ac:dyDescent="0.2">
      <c r="A55">
        <f t="shared" si="4"/>
        <v>2000</v>
      </c>
      <c r="B55" s="2">
        <f t="shared" si="36"/>
        <v>65214.41466895536</v>
      </c>
      <c r="C55" s="2"/>
      <c r="D55" s="2">
        <f t="shared" ref="D55:D70" si="38">AO54*(1+(D16/100))</f>
        <v>63517.362631193275</v>
      </c>
      <c r="E55" s="2">
        <f t="shared" ref="E55:E70" si="39">AP54*(1+(E16/100))</f>
        <v>34900.181723129375</v>
      </c>
      <c r="F55" s="2"/>
      <c r="G55" s="2">
        <f t="shared" si="35"/>
        <v>45385.833485714204</v>
      </c>
      <c r="H55" s="2">
        <f t="shared" si="15"/>
        <v>159758.8222998667</v>
      </c>
      <c r="I55" s="2">
        <f t="shared" si="16"/>
        <v>368776.6148088589</v>
      </c>
      <c r="J55" s="2">
        <f t="shared" si="17"/>
        <v>10219.243635803286</v>
      </c>
      <c r="K55" s="6">
        <f t="shared" si="18"/>
        <v>2.8501000000000078E-2</v>
      </c>
      <c r="L55" s="7">
        <f t="shared" si="19"/>
        <v>1.0285010000000001</v>
      </c>
      <c r="O55">
        <f t="shared" si="20"/>
        <v>2000</v>
      </c>
      <c r="P55" s="6">
        <f t="shared" si="5"/>
        <v>0.17683988639777695</v>
      </c>
      <c r="Q55" s="7"/>
      <c r="R55" s="6">
        <f t="shared" si="5"/>
        <v>0.17223804352159111</v>
      </c>
      <c r="S55" s="6">
        <f t="shared" si="5"/>
        <v>9.4637730055682989E-2</v>
      </c>
      <c r="T55" s="7"/>
      <c r="U55" s="6">
        <f t="shared" si="5"/>
        <v>0.12307134363505721</v>
      </c>
      <c r="V55" s="6">
        <f t="shared" si="7"/>
        <v>0.4332129963898918</v>
      </c>
      <c r="W55" s="6">
        <f t="shared" si="21"/>
        <v>1</v>
      </c>
      <c r="X55" s="7">
        <f t="shared" si="22"/>
        <v>0.56678700361010825</v>
      </c>
      <c r="Y55" s="7">
        <f t="shared" si="23"/>
        <v>0</v>
      </c>
      <c r="Z55" s="6"/>
      <c r="AB55">
        <f t="shared" si="24"/>
        <v>2000</v>
      </c>
      <c r="AC55" s="1" t="b">
        <f t="shared" si="25"/>
        <v>1</v>
      </c>
      <c r="AE55" s="1" t="b">
        <f t="shared" ref="AE55:AE70" si="40">AND((D55/$I55)&gt;0.15,(D55/$I55)&lt;0.25)</f>
        <v>1</v>
      </c>
      <c r="AF55" s="1" t="b">
        <f t="shared" ref="AF55:AF70" si="41">AND((E55/$I55)&gt;0.05,(E55/$I55)&lt;0.15)</f>
        <v>1</v>
      </c>
      <c r="AH55" s="1" t="b">
        <f t="shared" si="34"/>
        <v>0</v>
      </c>
      <c r="AI55" s="1" t="b">
        <f t="shared" si="27"/>
        <v>0</v>
      </c>
      <c r="AJ55" s="1" t="b">
        <f t="shared" si="28"/>
        <v>1</v>
      </c>
      <c r="AL55">
        <f t="shared" si="29"/>
        <v>2000</v>
      </c>
      <c r="AM55" s="2">
        <f t="shared" ref="AM55:AM75" si="42">$I55*AM$42</f>
        <v>73755.322961771788</v>
      </c>
      <c r="AN55" s="2"/>
      <c r="AO55" s="2">
        <f t="shared" si="37"/>
        <v>55316.49222132883</v>
      </c>
      <c r="AP55" s="2">
        <f t="shared" si="37"/>
        <v>36877.661480885894</v>
      </c>
      <c r="AQ55" s="2"/>
      <c r="AR55" s="2">
        <f t="shared" ref="AR55:AS75" si="43">$I55*AR$42</f>
        <v>55316.49222132883</v>
      </c>
      <c r="AS55" s="2">
        <f t="shared" si="43"/>
        <v>147510.64592354358</v>
      </c>
      <c r="AT55" s="2">
        <f t="shared" si="30"/>
        <v>368776.6148088589</v>
      </c>
      <c r="AU55" s="2">
        <f t="shared" si="31"/>
        <v>0</v>
      </c>
    </row>
    <row r="56" spans="1:47" x14ac:dyDescent="0.2">
      <c r="A56">
        <f t="shared" si="4"/>
        <v>2001</v>
      </c>
      <c r="B56" s="2">
        <f t="shared" si="36"/>
        <v>64889.933141766822</v>
      </c>
      <c r="C56" s="2"/>
      <c r="D56" s="2">
        <f t="shared" si="38"/>
        <v>55040.462925144398</v>
      </c>
      <c r="E56" s="2">
        <f t="shared" si="39"/>
        <v>38020.868986793357</v>
      </c>
      <c r="F56" s="2"/>
      <c r="G56" s="2">
        <f t="shared" si="35"/>
        <v>44168.559543964431</v>
      </c>
      <c r="H56" s="2">
        <f t="shared" si="15"/>
        <v>159945.79337489832</v>
      </c>
      <c r="I56" s="2">
        <f t="shared" si="16"/>
        <v>362065.61797256733</v>
      </c>
      <c r="J56" s="2">
        <f t="shared" si="17"/>
        <v>-6710.9968362915679</v>
      </c>
      <c r="K56" s="6">
        <f t="shared" si="18"/>
        <v>-1.8197999999999874E-2</v>
      </c>
      <c r="L56" s="7">
        <f t="shared" si="19"/>
        <v>0.98180200000000017</v>
      </c>
      <c r="O56">
        <f t="shared" si="20"/>
        <v>2001</v>
      </c>
      <c r="P56" s="6">
        <f t="shared" si="5"/>
        <v>0.17922147235389621</v>
      </c>
      <c r="Q56" s="7"/>
      <c r="R56" s="6">
        <f t="shared" si="5"/>
        <v>0.15201792214723536</v>
      </c>
      <c r="S56" s="6">
        <f t="shared" si="5"/>
        <v>0.10501098999594623</v>
      </c>
      <c r="T56" s="7"/>
      <c r="U56" s="6">
        <f t="shared" si="5"/>
        <v>0.12199048280610549</v>
      </c>
      <c r="V56" s="6">
        <f t="shared" si="7"/>
        <v>0.44175913269681671</v>
      </c>
      <c r="W56" s="6">
        <f t="shared" si="21"/>
        <v>1</v>
      </c>
      <c r="X56" s="7">
        <f t="shared" si="22"/>
        <v>0.55824086730318334</v>
      </c>
      <c r="Y56" s="7">
        <f t="shared" si="23"/>
        <v>0</v>
      </c>
      <c r="Z56" s="6"/>
      <c r="AB56">
        <f t="shared" si="24"/>
        <v>2001</v>
      </c>
      <c r="AC56" s="1" t="b">
        <f t="shared" si="25"/>
        <v>1</v>
      </c>
      <c r="AE56" s="1" t="b">
        <f t="shared" si="40"/>
        <v>1</v>
      </c>
      <c r="AF56" s="1" t="b">
        <f t="shared" si="41"/>
        <v>1</v>
      </c>
      <c r="AH56" s="1" t="b">
        <f t="shared" si="34"/>
        <v>0</v>
      </c>
      <c r="AI56" s="1" t="b">
        <f t="shared" si="27"/>
        <v>0</v>
      </c>
      <c r="AJ56" s="1" t="b">
        <f t="shared" si="28"/>
        <v>1</v>
      </c>
      <c r="AL56">
        <f t="shared" si="29"/>
        <v>2001</v>
      </c>
      <c r="AM56" s="2">
        <f t="shared" si="42"/>
        <v>72413.123594513469</v>
      </c>
      <c r="AN56" s="2"/>
      <c r="AO56" s="2">
        <f t="shared" si="37"/>
        <v>54309.842695885098</v>
      </c>
      <c r="AP56" s="2">
        <f t="shared" si="37"/>
        <v>36206.561797256734</v>
      </c>
      <c r="AQ56" s="2"/>
      <c r="AR56" s="2">
        <f t="shared" si="43"/>
        <v>54309.842695885098</v>
      </c>
      <c r="AS56" s="2">
        <f t="shared" si="43"/>
        <v>144826.24718902694</v>
      </c>
      <c r="AT56" s="2">
        <f t="shared" si="30"/>
        <v>362065.61797256733</v>
      </c>
      <c r="AU56" s="2">
        <f t="shared" si="31"/>
        <v>0</v>
      </c>
    </row>
    <row r="57" spans="1:47" x14ac:dyDescent="0.2">
      <c r="A57">
        <f t="shared" si="4"/>
        <v>2002</v>
      </c>
      <c r="B57" s="2">
        <f t="shared" si="36"/>
        <v>56373.616718328733</v>
      </c>
      <c r="C57" s="2"/>
      <c r="D57" s="2">
        <f t="shared" si="38"/>
        <v>46376.260874870204</v>
      </c>
      <c r="E57" s="2">
        <f t="shared" si="39"/>
        <v>28957.283994209993</v>
      </c>
      <c r="F57" s="2"/>
      <c r="G57" s="2">
        <f t="shared" si="35"/>
        <v>46118.289122064751</v>
      </c>
      <c r="H57" s="2">
        <f t="shared" si="15"/>
        <v>156788.89520684056</v>
      </c>
      <c r="I57" s="2">
        <f t="shared" si="16"/>
        <v>334614.34591631423</v>
      </c>
      <c r="J57" s="2">
        <f t="shared" si="17"/>
        <v>-27451.272056253103</v>
      </c>
      <c r="K57" s="6">
        <f t="shared" si="18"/>
        <v>-7.5818500000000025E-2</v>
      </c>
      <c r="L57" s="7">
        <f t="shared" si="19"/>
        <v>0.92418149999999999</v>
      </c>
      <c r="O57">
        <f t="shared" si="20"/>
        <v>2002</v>
      </c>
      <c r="P57" s="38">
        <f t="shared" si="5"/>
        <v>0.16847340051710621</v>
      </c>
      <c r="Q57" s="7"/>
      <c r="R57" s="6">
        <f t="shared" si="5"/>
        <v>0.13859615237915929</v>
      </c>
      <c r="S57" s="6">
        <f t="shared" si="5"/>
        <v>8.6539278269474135E-2</v>
      </c>
      <c r="T57" s="7"/>
      <c r="U57" s="38">
        <f t="shared" si="5"/>
        <v>0.13782519992014555</v>
      </c>
      <c r="V57" s="38">
        <f t="shared" si="7"/>
        <v>0.46856596891411484</v>
      </c>
      <c r="W57" s="6">
        <f t="shared" si="21"/>
        <v>1</v>
      </c>
      <c r="X57" s="7">
        <f t="shared" si="22"/>
        <v>0.53143403108588516</v>
      </c>
      <c r="Y57" s="7">
        <f t="shared" si="23"/>
        <v>0</v>
      </c>
      <c r="Z57" s="6"/>
      <c r="AB57">
        <f t="shared" si="24"/>
        <v>2002</v>
      </c>
      <c r="AC57" s="39" t="b">
        <f t="shared" si="25"/>
        <v>1</v>
      </c>
      <c r="AE57" s="1" t="b">
        <f t="shared" si="40"/>
        <v>0</v>
      </c>
      <c r="AF57" s="1" t="b">
        <f t="shared" si="41"/>
        <v>1</v>
      </c>
      <c r="AH57" s="39" t="b">
        <f t="shared" si="34"/>
        <v>0</v>
      </c>
      <c r="AI57" s="39" t="b">
        <f t="shared" si="27"/>
        <v>0</v>
      </c>
      <c r="AJ57" s="1" t="b">
        <f t="shared" si="28"/>
        <v>1</v>
      </c>
      <c r="AL57">
        <f t="shared" si="29"/>
        <v>2002</v>
      </c>
      <c r="AM57" s="2">
        <f t="shared" si="42"/>
        <v>66922.869183262854</v>
      </c>
      <c r="AN57" s="2"/>
      <c r="AO57" s="2">
        <f t="shared" si="37"/>
        <v>50192.151887447129</v>
      </c>
      <c r="AP57" s="2">
        <f t="shared" si="37"/>
        <v>33461.434591631427</v>
      </c>
      <c r="AQ57" s="2"/>
      <c r="AR57" s="2">
        <f t="shared" si="43"/>
        <v>50192.151887447129</v>
      </c>
      <c r="AS57" s="2">
        <f t="shared" si="43"/>
        <v>133845.73836652571</v>
      </c>
      <c r="AT57" s="2">
        <f t="shared" si="30"/>
        <v>334614.34591631423</v>
      </c>
      <c r="AU57" s="2">
        <f t="shared" si="31"/>
        <v>0</v>
      </c>
    </row>
    <row r="58" spans="1:47" x14ac:dyDescent="0.2">
      <c r="A58">
        <f t="shared" si="4"/>
        <v>2003</v>
      </c>
      <c r="B58" s="2">
        <f t="shared" si="36"/>
        <v>85995.886900492755</v>
      </c>
      <c r="C58" s="2"/>
      <c r="D58" s="2">
        <f t="shared" si="38"/>
        <v>67328.756384859327</v>
      </c>
      <c r="E58" s="2">
        <f t="shared" si="39"/>
        <v>48729.217967101016</v>
      </c>
      <c r="F58" s="2"/>
      <c r="G58" s="2">
        <f t="shared" si="35"/>
        <v>70439.665958843296</v>
      </c>
      <c r="H58" s="2">
        <f t="shared" si="15"/>
        <v>139159.41417967679</v>
      </c>
      <c r="I58" s="2">
        <f t="shared" si="16"/>
        <v>411652.94139097322</v>
      </c>
      <c r="J58" s="2">
        <f t="shared" si="17"/>
        <v>77038.595474659</v>
      </c>
      <c r="K58" s="6">
        <f t="shared" si="18"/>
        <v>0.23023100000000019</v>
      </c>
      <c r="L58" s="7">
        <f t="shared" si="19"/>
        <v>1.2302310000000003</v>
      </c>
      <c r="O58">
        <f t="shared" si="20"/>
        <v>2003</v>
      </c>
      <c r="P58" s="6">
        <f t="shared" si="5"/>
        <v>0.20890385626764402</v>
      </c>
      <c r="Q58" s="7"/>
      <c r="R58" s="6">
        <f t="shared" si="5"/>
        <v>0.16355708805907179</v>
      </c>
      <c r="S58" s="6">
        <f t="shared" si="5"/>
        <v>0.11837451665581505</v>
      </c>
      <c r="T58" s="7"/>
      <c r="U58" s="6">
        <f t="shared" si="5"/>
        <v>0.1711142053809406</v>
      </c>
      <c r="V58" s="38">
        <f t="shared" si="7"/>
        <v>0.33805033363652848</v>
      </c>
      <c r="W58" s="6">
        <f t="shared" si="21"/>
        <v>1</v>
      </c>
      <c r="X58" s="7">
        <f t="shared" si="22"/>
        <v>0.66194966636347152</v>
      </c>
      <c r="Y58" s="7">
        <f t="shared" si="23"/>
        <v>0</v>
      </c>
      <c r="Z58" s="6"/>
      <c r="AB58">
        <f t="shared" si="24"/>
        <v>2003</v>
      </c>
      <c r="AC58" s="1" t="b">
        <f t="shared" si="25"/>
        <v>1</v>
      </c>
      <c r="AE58" s="1" t="b">
        <f t="shared" si="40"/>
        <v>1</v>
      </c>
      <c r="AF58" s="1" t="b">
        <f t="shared" si="41"/>
        <v>1</v>
      </c>
      <c r="AH58" s="1" t="b">
        <f t="shared" si="34"/>
        <v>1</v>
      </c>
      <c r="AI58" s="39" t="b">
        <f t="shared" si="27"/>
        <v>1</v>
      </c>
      <c r="AJ58" s="1" t="b">
        <f t="shared" si="28"/>
        <v>1</v>
      </c>
      <c r="AL58">
        <f t="shared" si="29"/>
        <v>2003</v>
      </c>
      <c r="AM58" s="2">
        <f t="shared" si="42"/>
        <v>82330.588278194657</v>
      </c>
      <c r="AN58" s="2"/>
      <c r="AO58" s="2">
        <f t="shared" si="37"/>
        <v>61747.941208645978</v>
      </c>
      <c r="AP58" s="2">
        <f t="shared" si="37"/>
        <v>41165.294139097328</v>
      </c>
      <c r="AQ58" s="2"/>
      <c r="AR58" s="2">
        <f t="shared" si="43"/>
        <v>61747.941208645978</v>
      </c>
      <c r="AS58" s="2">
        <f t="shared" si="43"/>
        <v>164661.17655638931</v>
      </c>
      <c r="AT58" s="2">
        <f t="shared" si="30"/>
        <v>411652.94139097322</v>
      </c>
      <c r="AU58" s="2">
        <f t="shared" si="31"/>
        <v>0</v>
      </c>
    </row>
    <row r="59" spans="1:47" x14ac:dyDescent="0.2">
      <c r="A59">
        <f t="shared" si="4"/>
        <v>2004</v>
      </c>
      <c r="B59" s="2">
        <f t="shared" si="36"/>
        <v>91172.89345927276</v>
      </c>
      <c r="C59" s="2"/>
      <c r="D59" s="2">
        <f t="shared" si="38"/>
        <v>74315.499682841692</v>
      </c>
      <c r="E59" s="2">
        <f t="shared" si="39"/>
        <v>49355.952713953528</v>
      </c>
      <c r="F59" s="2"/>
      <c r="G59" s="2">
        <f t="shared" si="35"/>
        <v>74614.35971829154</v>
      </c>
      <c r="H59" s="2">
        <f t="shared" si="15"/>
        <v>171642.81044238023</v>
      </c>
      <c r="I59" s="2">
        <f t="shared" si="16"/>
        <v>461101.51601673977</v>
      </c>
      <c r="J59" s="2">
        <f>I59-I58</f>
        <v>49448.574625766545</v>
      </c>
      <c r="K59" s="6">
        <f>(J59/I58)</f>
        <v>0.12012200000000015</v>
      </c>
      <c r="L59" s="7">
        <f t="shared" si="19"/>
        <v>1.1201220000000001</v>
      </c>
      <c r="O59">
        <f t="shared" si="20"/>
        <v>2004</v>
      </c>
      <c r="P59" s="6">
        <f t="shared" si="5"/>
        <v>0.19772846172113395</v>
      </c>
      <c r="Q59" s="7"/>
      <c r="R59" s="6">
        <f t="shared" si="5"/>
        <v>0.16116949760829619</v>
      </c>
      <c r="S59" s="6">
        <f t="shared" si="5"/>
        <v>0.1070392332263807</v>
      </c>
      <c r="T59" s="7"/>
      <c r="U59" s="6">
        <f t="shared" si="5"/>
        <v>0.16181764129264486</v>
      </c>
      <c r="V59" s="6">
        <f t="shared" si="7"/>
        <v>0.37224516615154424</v>
      </c>
      <c r="W59" s="6">
        <f t="shared" si="21"/>
        <v>1</v>
      </c>
      <c r="X59" s="7">
        <f t="shared" si="22"/>
        <v>0.62775483384845576</v>
      </c>
      <c r="Y59" s="7">
        <f t="shared" si="23"/>
        <v>0</v>
      </c>
      <c r="Z59" s="6"/>
      <c r="AB59">
        <f t="shared" si="24"/>
        <v>2004</v>
      </c>
      <c r="AC59" s="1" t="b">
        <f t="shared" si="25"/>
        <v>1</v>
      </c>
      <c r="AE59" s="1" t="b">
        <f t="shared" si="40"/>
        <v>1</v>
      </c>
      <c r="AF59" s="1" t="b">
        <f t="shared" si="41"/>
        <v>1</v>
      </c>
      <c r="AH59" s="1" t="b">
        <f t="shared" si="34"/>
        <v>1</v>
      </c>
      <c r="AI59" s="1" t="b">
        <f t="shared" si="27"/>
        <v>0</v>
      </c>
      <c r="AJ59" s="1" t="b">
        <f t="shared" si="28"/>
        <v>1</v>
      </c>
      <c r="AL59">
        <f t="shared" si="29"/>
        <v>2004</v>
      </c>
      <c r="AM59" s="2">
        <f t="shared" si="42"/>
        <v>92220.303203347954</v>
      </c>
      <c r="AN59" s="2"/>
      <c r="AO59" s="2">
        <f t="shared" si="37"/>
        <v>69165.227402510965</v>
      </c>
      <c r="AP59" s="2">
        <f t="shared" si="37"/>
        <v>46110.151601673977</v>
      </c>
      <c r="AQ59" s="2"/>
      <c r="AR59" s="2">
        <f t="shared" si="43"/>
        <v>69165.227402510965</v>
      </c>
      <c r="AS59" s="2">
        <f t="shared" si="43"/>
        <v>184440.60640669591</v>
      </c>
      <c r="AT59" s="2">
        <f t="shared" si="30"/>
        <v>461101.51601673977</v>
      </c>
      <c r="AU59" s="2">
        <f t="shared" si="31"/>
        <v>0</v>
      </c>
    </row>
    <row r="60" spans="1:47" x14ac:dyDescent="0.2">
      <c r="A60">
        <f t="shared" si="4"/>
        <v>2005</v>
      </c>
      <c r="B60" s="2">
        <f t="shared" si="36"/>
        <v>96619.211666147661</v>
      </c>
      <c r="C60" s="2"/>
      <c r="D60" s="2">
        <f t="shared" si="38"/>
        <v>78800.635231954773</v>
      </c>
      <c r="E60" s="2">
        <f t="shared" si="39"/>
        <v>49505.242064105238</v>
      </c>
      <c r="F60" s="2"/>
      <c r="G60" s="2">
        <f t="shared" si="35"/>
        <v>79934.944961355955</v>
      </c>
      <c r="H60" s="2">
        <f t="shared" si="15"/>
        <v>188867.18096045661</v>
      </c>
      <c r="I60" s="2">
        <f t="shared" si="16"/>
        <v>493727.21488402021</v>
      </c>
      <c r="J60" s="2">
        <f t="shared" si="17"/>
        <v>32625.698867280444</v>
      </c>
      <c r="K60" s="6">
        <f t="shared" si="18"/>
        <v>7.0756000000000013E-2</v>
      </c>
      <c r="L60" s="7">
        <f t="shared" si="19"/>
        <v>1.070756</v>
      </c>
      <c r="O60">
        <f t="shared" si="20"/>
        <v>2005</v>
      </c>
      <c r="P60" s="6">
        <f t="shared" si="5"/>
        <v>0.19569351000601445</v>
      </c>
      <c r="Q60" s="7"/>
      <c r="R60" s="6">
        <f t="shared" si="5"/>
        <v>0.15960358849261644</v>
      </c>
      <c r="S60" s="6">
        <f t="shared" si="5"/>
        <v>0.10026840848895548</v>
      </c>
      <c r="T60" s="7"/>
      <c r="U60" s="6">
        <f t="shared" si="5"/>
        <v>0.16190103067365488</v>
      </c>
      <c r="V60" s="6">
        <f t="shared" si="7"/>
        <v>0.38253346233875879</v>
      </c>
      <c r="W60" s="6">
        <f t="shared" si="21"/>
        <v>1</v>
      </c>
      <c r="X60" s="7">
        <f t="shared" si="22"/>
        <v>0.61746653766124127</v>
      </c>
      <c r="Y60" s="7">
        <f t="shared" si="23"/>
        <v>0</v>
      </c>
      <c r="Z60" s="6"/>
      <c r="AB60">
        <f t="shared" si="24"/>
        <v>2005</v>
      </c>
      <c r="AC60" s="1" t="b">
        <f t="shared" si="25"/>
        <v>1</v>
      </c>
      <c r="AE60" s="1" t="b">
        <f t="shared" si="40"/>
        <v>1</v>
      </c>
      <c r="AF60" s="1" t="b">
        <f t="shared" si="41"/>
        <v>1</v>
      </c>
      <c r="AH60" s="1" t="b">
        <f t="shared" si="34"/>
        <v>1</v>
      </c>
      <c r="AI60" s="1" t="b">
        <f t="shared" si="27"/>
        <v>0</v>
      </c>
      <c r="AJ60" s="1" t="b">
        <f t="shared" si="28"/>
        <v>1</v>
      </c>
      <c r="AL60">
        <f t="shared" si="29"/>
        <v>2005</v>
      </c>
      <c r="AM60" s="2">
        <f t="shared" si="42"/>
        <v>98745.442976804043</v>
      </c>
      <c r="AN60" s="2"/>
      <c r="AO60" s="2">
        <f t="shared" si="37"/>
        <v>74059.082232603032</v>
      </c>
      <c r="AP60" s="2">
        <f t="shared" si="37"/>
        <v>49372.721488402021</v>
      </c>
      <c r="AQ60" s="2"/>
      <c r="AR60" s="2">
        <f t="shared" si="43"/>
        <v>74059.082232603032</v>
      </c>
      <c r="AS60" s="2">
        <f t="shared" si="43"/>
        <v>197490.88595360809</v>
      </c>
      <c r="AT60" s="2">
        <f t="shared" si="30"/>
        <v>493727.21488402021</v>
      </c>
      <c r="AU60" s="2">
        <f t="shared" si="31"/>
        <v>0</v>
      </c>
    </row>
    <row r="61" spans="1:47" x14ac:dyDescent="0.2">
      <c r="A61">
        <f t="shared" si="4"/>
        <v>2006</v>
      </c>
      <c r="B61" s="2">
        <f t="shared" si="36"/>
        <v>114189.23025837621</v>
      </c>
      <c r="C61" s="2"/>
      <c r="D61" s="2">
        <f t="shared" si="38"/>
        <v>84128.895643770054</v>
      </c>
      <c r="E61" s="2">
        <f t="shared" si="39"/>
        <v>57102.514764626241</v>
      </c>
      <c r="F61" s="2"/>
      <c r="G61" s="2">
        <f t="shared" si="35"/>
        <v>93786.199966901506</v>
      </c>
      <c r="H61" s="2">
        <f t="shared" si="15"/>
        <v>205923.74678382714</v>
      </c>
      <c r="I61" s="2">
        <f t="shared" si="16"/>
        <v>555130.58741750126</v>
      </c>
      <c r="J61" s="2">
        <f t="shared" si="17"/>
        <v>61403.372533481044</v>
      </c>
      <c r="K61" s="6">
        <f t="shared" si="18"/>
        <v>0.12436700000000021</v>
      </c>
      <c r="L61" s="7">
        <f t="shared" si="19"/>
        <v>1.1243670000000001</v>
      </c>
      <c r="O61">
        <f t="shared" si="20"/>
        <v>2006</v>
      </c>
      <c r="P61" s="6">
        <f t="shared" si="5"/>
        <v>0.20569796160862067</v>
      </c>
      <c r="Q61" s="7"/>
      <c r="R61" s="6">
        <f t="shared" si="5"/>
        <v>0.15154793763957849</v>
      </c>
      <c r="S61" s="6">
        <f t="shared" si="5"/>
        <v>0.10286321103340811</v>
      </c>
      <c r="T61" s="7"/>
      <c r="U61" s="6">
        <f t="shared" si="5"/>
        <v>0.16894439271163239</v>
      </c>
      <c r="V61" s="38">
        <f t="shared" si="7"/>
        <v>0.37094649700676013</v>
      </c>
      <c r="W61" s="6">
        <f t="shared" si="21"/>
        <v>0.99999999999999978</v>
      </c>
      <c r="X61" s="7">
        <f t="shared" si="22"/>
        <v>0.6290535029932397</v>
      </c>
      <c r="Y61" s="7">
        <f t="shared" si="23"/>
        <v>0</v>
      </c>
      <c r="Z61" s="6"/>
      <c r="AB61">
        <f t="shared" si="24"/>
        <v>2006</v>
      </c>
      <c r="AC61" s="1" t="b">
        <f t="shared" si="25"/>
        <v>1</v>
      </c>
      <c r="AE61" s="1" t="b">
        <f t="shared" si="40"/>
        <v>1</v>
      </c>
      <c r="AF61" s="1" t="b">
        <f t="shared" si="41"/>
        <v>1</v>
      </c>
      <c r="AH61" s="1" t="b">
        <f t="shared" si="34"/>
        <v>1</v>
      </c>
      <c r="AI61" s="39" t="b">
        <f t="shared" si="27"/>
        <v>0</v>
      </c>
      <c r="AJ61" s="1" t="b">
        <f t="shared" si="28"/>
        <v>1</v>
      </c>
      <c r="AL61">
        <f t="shared" si="29"/>
        <v>2006</v>
      </c>
      <c r="AM61" s="2">
        <f t="shared" si="42"/>
        <v>111026.11748350026</v>
      </c>
      <c r="AN61" s="2"/>
      <c r="AO61" s="2">
        <f t="shared" si="37"/>
        <v>83269.588112625192</v>
      </c>
      <c r="AP61" s="2">
        <f t="shared" si="37"/>
        <v>55513.05874175013</v>
      </c>
      <c r="AQ61" s="2"/>
      <c r="AR61" s="2">
        <f t="shared" si="43"/>
        <v>83269.588112625192</v>
      </c>
      <c r="AS61" s="2">
        <f t="shared" si="43"/>
        <v>222052.23496700052</v>
      </c>
      <c r="AT61" s="2">
        <f t="shared" si="30"/>
        <v>555130.58741750126</v>
      </c>
      <c r="AU61" s="2">
        <f t="shared" si="31"/>
        <v>0</v>
      </c>
    </row>
    <row r="62" spans="1:47" x14ac:dyDescent="0.2">
      <c r="A62">
        <f t="shared" si="4"/>
        <v>2007</v>
      </c>
      <c r="B62" s="2">
        <f t="shared" si="36"/>
        <v>117010.42521586093</v>
      </c>
      <c r="C62" s="2"/>
      <c r="D62" s="2">
        <f t="shared" si="38"/>
        <v>88283.250012886361</v>
      </c>
      <c r="E62" s="2">
        <f t="shared" si="39"/>
        <v>56154.789700804766</v>
      </c>
      <c r="F62" s="2"/>
      <c r="G62" s="2">
        <f t="shared" si="35"/>
        <v>96194.693579466868</v>
      </c>
      <c r="H62" s="2">
        <f t="shared" si="15"/>
        <v>237418.24962671695</v>
      </c>
      <c r="I62" s="2">
        <f t="shared" si="16"/>
        <v>595061.4081357359</v>
      </c>
      <c r="J62" s="2">
        <f t="shared" si="17"/>
        <v>39930.820718234638</v>
      </c>
      <c r="K62" s="6">
        <f t="shared" si="18"/>
        <v>7.1930500000000119E-2</v>
      </c>
      <c r="L62" s="7">
        <f t="shared" si="19"/>
        <v>1.0719305000000001</v>
      </c>
      <c r="O62">
        <f t="shared" si="20"/>
        <v>2007</v>
      </c>
      <c r="P62" s="6">
        <f t="shared" si="5"/>
        <v>0.19663588264351095</v>
      </c>
      <c r="Q62" s="7"/>
      <c r="R62" s="6">
        <f t="shared" si="5"/>
        <v>0.14835989833296095</v>
      </c>
      <c r="S62" s="6">
        <f t="shared" si="5"/>
        <v>9.4368058376919028E-2</v>
      </c>
      <c r="T62" s="7"/>
      <c r="U62" s="6">
        <f t="shared" si="5"/>
        <v>0.16165506998821283</v>
      </c>
      <c r="V62" s="6">
        <f t="shared" si="7"/>
        <v>0.39898109065839621</v>
      </c>
      <c r="W62" s="6">
        <f t="shared" si="21"/>
        <v>1</v>
      </c>
      <c r="X62" s="7">
        <f t="shared" si="22"/>
        <v>0.60101890934160374</v>
      </c>
      <c r="Y62" s="7">
        <f t="shared" si="23"/>
        <v>0</v>
      </c>
      <c r="Z62" s="6"/>
      <c r="AA62" s="7">
        <f>SUM(P62:U62)</f>
        <v>0.60101890934160374</v>
      </c>
      <c r="AB62">
        <f t="shared" si="24"/>
        <v>2007</v>
      </c>
      <c r="AC62" s="1" t="b">
        <f t="shared" si="25"/>
        <v>1</v>
      </c>
      <c r="AE62" s="1" t="b">
        <f t="shared" si="40"/>
        <v>0</v>
      </c>
      <c r="AF62" s="1" t="b">
        <f t="shared" si="41"/>
        <v>1</v>
      </c>
      <c r="AH62" s="1" t="b">
        <f t="shared" si="34"/>
        <v>1</v>
      </c>
      <c r="AI62" s="1" t="b">
        <f t="shared" si="27"/>
        <v>0</v>
      </c>
      <c r="AJ62" s="1" t="b">
        <f t="shared" si="28"/>
        <v>1</v>
      </c>
      <c r="AL62">
        <f t="shared" si="29"/>
        <v>2007</v>
      </c>
      <c r="AM62" s="2">
        <f t="shared" si="42"/>
        <v>119012.28162714718</v>
      </c>
      <c r="AN62" s="2"/>
      <c r="AO62" s="2">
        <f t="shared" si="37"/>
        <v>89259.211220360376</v>
      </c>
      <c r="AP62" s="2">
        <f t="shared" si="37"/>
        <v>59506.140813573591</v>
      </c>
      <c r="AQ62" s="2"/>
      <c r="AR62" s="2">
        <f t="shared" si="43"/>
        <v>89259.211220360376</v>
      </c>
      <c r="AS62" s="2">
        <f t="shared" si="43"/>
        <v>238024.56325429436</v>
      </c>
      <c r="AT62" s="2">
        <f t="shared" si="30"/>
        <v>595061.4081357359</v>
      </c>
      <c r="AU62" s="2">
        <f t="shared" si="31"/>
        <v>0</v>
      </c>
    </row>
    <row r="63" spans="1:47" x14ac:dyDescent="0.2">
      <c r="A63">
        <f t="shared" si="4"/>
        <v>2008</v>
      </c>
      <c r="B63" s="2">
        <f t="shared" si="36"/>
        <v>74953.934968777292</v>
      </c>
      <c r="C63" s="2"/>
      <c r="D63" s="2">
        <f t="shared" si="38"/>
        <v>51927.438719556856</v>
      </c>
      <c r="E63" s="2">
        <f t="shared" si="39"/>
        <v>38042.275822117597</v>
      </c>
      <c r="F63" s="2"/>
      <c r="G63" s="2">
        <f t="shared" si="35"/>
        <v>49895.006480069242</v>
      </c>
      <c r="H63" s="2">
        <f t="shared" si="15"/>
        <v>250044.80369863621</v>
      </c>
      <c r="I63" s="2">
        <f t="shared" si="16"/>
        <v>464863.4596891572</v>
      </c>
      <c r="J63" s="2">
        <f t="shared" si="17"/>
        <v>-130197.9484465787</v>
      </c>
      <c r="K63" s="6">
        <f t="shared" si="18"/>
        <v>-0.21879750000000003</v>
      </c>
      <c r="L63" s="7">
        <f t="shared" si="19"/>
        <v>0.78120250000000002</v>
      </c>
      <c r="O63">
        <f t="shared" si="20"/>
        <v>2008</v>
      </c>
      <c r="P63" s="6">
        <f t="shared" si="5"/>
        <v>0.16123860330708106</v>
      </c>
      <c r="Q63" s="7"/>
      <c r="R63" s="6">
        <f t="shared" si="5"/>
        <v>0.11170471164646811</v>
      </c>
      <c r="S63" s="6">
        <f t="shared" si="5"/>
        <v>8.1835375590835924E-2</v>
      </c>
      <c r="T63" s="7"/>
      <c r="U63" s="6">
        <f t="shared" si="5"/>
        <v>0.10733260582243399</v>
      </c>
      <c r="V63" s="38">
        <f t="shared" si="7"/>
        <v>0.53788870363318086</v>
      </c>
      <c r="W63" s="6">
        <f t="shared" si="21"/>
        <v>1</v>
      </c>
      <c r="X63" s="7">
        <f t="shared" si="22"/>
        <v>0.46211129636681908</v>
      </c>
      <c r="Y63" s="7">
        <f t="shared" si="23"/>
        <v>0</v>
      </c>
      <c r="Z63" s="6"/>
      <c r="AB63">
        <f t="shared" si="24"/>
        <v>2008</v>
      </c>
      <c r="AC63" s="1" t="b">
        <f t="shared" si="25"/>
        <v>1</v>
      </c>
      <c r="AE63" s="1" t="b">
        <f t="shared" si="40"/>
        <v>0</v>
      </c>
      <c r="AF63" s="1" t="b">
        <f t="shared" si="41"/>
        <v>1</v>
      </c>
      <c r="AH63" s="1" t="b">
        <f t="shared" si="34"/>
        <v>0</v>
      </c>
      <c r="AI63" s="39" t="b">
        <f t="shared" si="27"/>
        <v>0</v>
      </c>
      <c r="AJ63" s="1" t="b">
        <f t="shared" si="28"/>
        <v>1</v>
      </c>
      <c r="AL63">
        <f t="shared" si="29"/>
        <v>2008</v>
      </c>
      <c r="AM63" s="2">
        <f t="shared" si="42"/>
        <v>92972.691937831449</v>
      </c>
      <c r="AN63" s="2"/>
      <c r="AO63" s="2">
        <f t="shared" si="37"/>
        <v>69729.518953373583</v>
      </c>
      <c r="AP63" s="2">
        <f t="shared" si="37"/>
        <v>46486.345968915724</v>
      </c>
      <c r="AQ63" s="2"/>
      <c r="AR63" s="2">
        <f t="shared" si="43"/>
        <v>69729.518953373583</v>
      </c>
      <c r="AS63" s="2">
        <f t="shared" si="43"/>
        <v>185945.3838756629</v>
      </c>
      <c r="AT63" s="2">
        <f t="shared" si="30"/>
        <v>464863.4596891572</v>
      </c>
      <c r="AU63" s="2">
        <f t="shared" si="31"/>
        <v>0</v>
      </c>
    </row>
    <row r="64" spans="1:47" x14ac:dyDescent="0.2">
      <c r="A64">
        <f t="shared" si="4"/>
        <v>2009</v>
      </c>
      <c r="B64" s="2">
        <f t="shared" si="36"/>
        <v>117601.15803216299</v>
      </c>
      <c r="C64" s="2"/>
      <c r="D64" s="2">
        <f t="shared" si="38"/>
        <v>97773.336886041376</v>
      </c>
      <c r="E64" s="2">
        <f t="shared" si="39"/>
        <v>63276.284405968705</v>
      </c>
      <c r="F64" s="2"/>
      <c r="G64" s="2">
        <f t="shared" si="35"/>
        <v>95339.079379379094</v>
      </c>
      <c r="H64" s="2">
        <f t="shared" si="15"/>
        <v>196971.94513948969</v>
      </c>
      <c r="I64" s="2">
        <f t="shared" si="16"/>
        <v>570961.80384304188</v>
      </c>
      <c r="J64" s="2">
        <f t="shared" si="17"/>
        <v>106098.34415388468</v>
      </c>
      <c r="K64" s="6">
        <f t="shared" si="18"/>
        <v>0.22823550000000009</v>
      </c>
      <c r="L64" s="7">
        <f t="shared" si="19"/>
        <v>1.2282355</v>
      </c>
      <c r="O64">
        <f t="shared" si="20"/>
        <v>2009</v>
      </c>
      <c r="P64" s="6">
        <f t="shared" si="5"/>
        <v>0.20597027198774176</v>
      </c>
      <c r="Q64" s="7"/>
      <c r="R64" s="6">
        <f t="shared" si="5"/>
        <v>0.17124321842187432</v>
      </c>
      <c r="S64" s="6">
        <f t="shared" si="5"/>
        <v>0.11082402356877</v>
      </c>
      <c r="T64" s="7"/>
      <c r="U64" s="6">
        <f t="shared" si="5"/>
        <v>0.16697978522848425</v>
      </c>
      <c r="V64" s="6">
        <f t="shared" si="7"/>
        <v>0.34498270079312965</v>
      </c>
      <c r="W64" s="6">
        <f t="shared" si="21"/>
        <v>0.99999999999999989</v>
      </c>
      <c r="X64" s="7">
        <f t="shared" si="22"/>
        <v>0.65501729920687024</v>
      </c>
      <c r="Y64" s="7">
        <f t="shared" si="23"/>
        <v>0</v>
      </c>
      <c r="Z64" s="6"/>
      <c r="AB64">
        <f t="shared" si="24"/>
        <v>2009</v>
      </c>
      <c r="AC64" s="1" t="b">
        <f t="shared" si="25"/>
        <v>1</v>
      </c>
      <c r="AE64" s="1" t="b">
        <f t="shared" si="40"/>
        <v>1</v>
      </c>
      <c r="AF64" s="1" t="b">
        <f t="shared" si="41"/>
        <v>1</v>
      </c>
      <c r="AH64" s="1" t="b">
        <f t="shared" si="34"/>
        <v>1</v>
      </c>
      <c r="AI64" s="1" t="b">
        <f t="shared" si="27"/>
        <v>1</v>
      </c>
      <c r="AJ64" s="1" t="b">
        <f t="shared" si="28"/>
        <v>1</v>
      </c>
      <c r="AL64">
        <f t="shared" si="29"/>
        <v>2009</v>
      </c>
      <c r="AM64" s="2">
        <f t="shared" si="42"/>
        <v>114192.36076860839</v>
      </c>
      <c r="AN64" s="2"/>
      <c r="AO64" s="2">
        <f t="shared" si="37"/>
        <v>85644.270576456285</v>
      </c>
      <c r="AP64" s="2">
        <f t="shared" si="37"/>
        <v>57096.180384304193</v>
      </c>
      <c r="AQ64" s="2"/>
      <c r="AR64" s="2">
        <f t="shared" si="43"/>
        <v>85644.270576456285</v>
      </c>
      <c r="AS64" s="2">
        <f t="shared" si="43"/>
        <v>228384.72153721677</v>
      </c>
      <c r="AT64" s="2">
        <f t="shared" si="30"/>
        <v>570961.80384304188</v>
      </c>
      <c r="AU64" s="2">
        <f t="shared" si="31"/>
        <v>0</v>
      </c>
    </row>
    <row r="65" spans="1:47" x14ac:dyDescent="0.2">
      <c r="A65">
        <f t="shared" si="4"/>
        <v>2010</v>
      </c>
      <c r="B65" s="2">
        <f t="shared" si="36"/>
        <v>131218.4417592079</v>
      </c>
      <c r="C65" s="2"/>
      <c r="D65" s="2">
        <f t="shared" si="38"/>
        <v>107449.30186522205</v>
      </c>
      <c r="E65" s="2">
        <f t="shared" si="39"/>
        <v>72923.241586833319</v>
      </c>
      <c r="F65" s="2"/>
      <c r="G65" s="2">
        <f t="shared" si="35"/>
        <v>95167.913464558223</v>
      </c>
      <c r="H65" s="2">
        <f t="shared" si="15"/>
        <v>243047.02065990609</v>
      </c>
      <c r="I65" s="2">
        <f t="shared" si="16"/>
        <v>649805.91933572758</v>
      </c>
      <c r="J65" s="2">
        <f t="shared" si="17"/>
        <v>78844.115492685698</v>
      </c>
      <c r="K65" s="6">
        <f t="shared" si="18"/>
        <v>0.13809000000000007</v>
      </c>
      <c r="L65" s="7">
        <f t="shared" si="19"/>
        <v>1.13809</v>
      </c>
      <c r="O65">
        <f t="shared" si="20"/>
        <v>2010</v>
      </c>
      <c r="P65" s="6">
        <f t="shared" si="5"/>
        <v>0.20193482062051332</v>
      </c>
      <c r="Q65" s="7"/>
      <c r="R65" s="6">
        <f t="shared" si="5"/>
        <v>0.16535599117820207</v>
      </c>
      <c r="S65" s="6">
        <f t="shared" si="5"/>
        <v>0.11222311065030008</v>
      </c>
      <c r="T65" s="7"/>
      <c r="U65" s="6">
        <f t="shared" si="5"/>
        <v>0.14645590419035401</v>
      </c>
      <c r="V65" s="38">
        <f t="shared" si="7"/>
        <v>0.37403017336063055</v>
      </c>
      <c r="W65" s="6">
        <f t="shared" si="21"/>
        <v>1</v>
      </c>
      <c r="X65" s="7">
        <f t="shared" si="22"/>
        <v>0.62596982663936951</v>
      </c>
      <c r="Y65" s="7">
        <f t="shared" si="23"/>
        <v>0</v>
      </c>
      <c r="Z65" s="6"/>
      <c r="AB65">
        <f t="shared" si="24"/>
        <v>2010</v>
      </c>
      <c r="AC65" s="1" t="b">
        <f t="shared" si="25"/>
        <v>1</v>
      </c>
      <c r="AE65" s="1" t="b">
        <f t="shared" si="40"/>
        <v>1</v>
      </c>
      <c r="AF65" s="1" t="b">
        <f t="shared" si="41"/>
        <v>1</v>
      </c>
      <c r="AH65" s="1" t="b">
        <f t="shared" si="34"/>
        <v>0</v>
      </c>
      <c r="AI65" s="39" t="b">
        <f t="shared" si="27"/>
        <v>0</v>
      </c>
      <c r="AJ65" s="1" t="b">
        <f t="shared" si="28"/>
        <v>1</v>
      </c>
      <c r="AL65">
        <f t="shared" si="29"/>
        <v>2010</v>
      </c>
      <c r="AM65" s="2">
        <f t="shared" si="42"/>
        <v>129961.18386714552</v>
      </c>
      <c r="AN65" s="2"/>
      <c r="AO65" s="2">
        <f t="shared" si="37"/>
        <v>97470.887900359128</v>
      </c>
      <c r="AP65" s="2">
        <f t="shared" si="37"/>
        <v>64980.591933572759</v>
      </c>
      <c r="AQ65" s="2"/>
      <c r="AR65" s="2">
        <f t="shared" si="43"/>
        <v>97470.887900359128</v>
      </c>
      <c r="AS65" s="2">
        <f t="shared" si="43"/>
        <v>259922.36773429104</v>
      </c>
      <c r="AT65" s="2">
        <f t="shared" si="30"/>
        <v>649805.91933572758</v>
      </c>
      <c r="AU65" s="2">
        <f t="shared" si="31"/>
        <v>0</v>
      </c>
    </row>
    <row r="66" spans="1:47" x14ac:dyDescent="0.2">
      <c r="A66">
        <f t="shared" si="4"/>
        <v>2011</v>
      </c>
      <c r="B66" s="2">
        <f t="shared" si="36"/>
        <v>132521.4191893283</v>
      </c>
      <c r="C66" s="2"/>
      <c r="D66" s="2">
        <f t="shared" si="38"/>
        <v>95414.252165661543</v>
      </c>
      <c r="E66" s="2">
        <f t="shared" si="39"/>
        <v>63161.135359432723</v>
      </c>
      <c r="F66" s="2"/>
      <c r="G66" s="2">
        <f t="shared" si="35"/>
        <v>83279.126622066848</v>
      </c>
      <c r="H66" s="2">
        <f t="shared" si="15"/>
        <v>279572.49873500346</v>
      </c>
      <c r="I66" s="2">
        <f t="shared" si="16"/>
        <v>653948.43207149277</v>
      </c>
      <c r="J66" s="2">
        <f t="shared" si="17"/>
        <v>4142.5127357651945</v>
      </c>
      <c r="K66" s="6">
        <f t="shared" si="18"/>
        <v>6.3749999999998938E-3</v>
      </c>
      <c r="L66" s="7">
        <f t="shared" si="19"/>
        <v>1.0063749999999998</v>
      </c>
      <c r="O66">
        <f t="shared" si="20"/>
        <v>2011</v>
      </c>
      <c r="P66" s="6">
        <f t="shared" si="5"/>
        <v>0.20264811824618065</v>
      </c>
      <c r="Q66" s="7"/>
      <c r="R66" s="6">
        <f t="shared" si="5"/>
        <v>0.14590485653956028</v>
      </c>
      <c r="S66" s="6">
        <f t="shared" si="5"/>
        <v>9.6584275245311157E-2</v>
      </c>
      <c r="T66" s="7"/>
      <c r="U66" s="6">
        <f t="shared" si="5"/>
        <v>0.12734815550863249</v>
      </c>
      <c r="V66" s="6">
        <f t="shared" si="7"/>
        <v>0.42751459446031559</v>
      </c>
      <c r="W66" s="6">
        <f t="shared" si="21"/>
        <v>1.0000000000000002</v>
      </c>
      <c r="X66" s="7">
        <f t="shared" si="22"/>
        <v>0.57248540553968463</v>
      </c>
      <c r="Y66" s="7">
        <f t="shared" si="23"/>
        <v>0</v>
      </c>
      <c r="Z66" s="6"/>
      <c r="AB66">
        <f t="shared" si="24"/>
        <v>2011</v>
      </c>
      <c r="AC66" s="1" t="b">
        <f t="shared" si="25"/>
        <v>1</v>
      </c>
      <c r="AE66" s="1" t="b">
        <f t="shared" si="40"/>
        <v>0</v>
      </c>
      <c r="AF66" s="1" t="b">
        <f t="shared" si="41"/>
        <v>1</v>
      </c>
      <c r="AH66" s="1" t="b">
        <f t="shared" si="34"/>
        <v>0</v>
      </c>
      <c r="AI66" s="1" t="b">
        <f t="shared" si="27"/>
        <v>0</v>
      </c>
      <c r="AJ66" s="1" t="b">
        <f t="shared" si="28"/>
        <v>1</v>
      </c>
      <c r="AL66">
        <f t="shared" si="29"/>
        <v>2011</v>
      </c>
      <c r="AM66" s="2">
        <f t="shared" si="42"/>
        <v>130789.68641429856</v>
      </c>
      <c r="AN66" s="2"/>
      <c r="AO66" s="2">
        <f t="shared" si="37"/>
        <v>98092.264810723907</v>
      </c>
      <c r="AP66" s="2">
        <f t="shared" si="37"/>
        <v>65394.843207149279</v>
      </c>
      <c r="AQ66" s="2"/>
      <c r="AR66" s="2">
        <f t="shared" si="43"/>
        <v>98092.264810723907</v>
      </c>
      <c r="AS66" s="2">
        <f t="shared" si="43"/>
        <v>261579.37282859712</v>
      </c>
      <c r="AT66" s="2">
        <f t="shared" si="30"/>
        <v>653948.43207149277</v>
      </c>
      <c r="AU66" s="2">
        <f t="shared" si="31"/>
        <v>0</v>
      </c>
    </row>
    <row r="67" spans="1:47" x14ac:dyDescent="0.2">
      <c r="A67">
        <f t="shared" si="4"/>
        <v>2012</v>
      </c>
      <c r="B67" s="2">
        <f t="shared" si="36"/>
        <v>151480.61480504059</v>
      </c>
      <c r="C67" s="2"/>
      <c r="D67" s="2">
        <f t="shared" si="38"/>
        <v>113590.84265081827</v>
      </c>
      <c r="E67" s="2">
        <f t="shared" si="39"/>
        <v>77192.072921719009</v>
      </c>
      <c r="F67" s="2"/>
      <c r="G67" s="2">
        <f t="shared" si="35"/>
        <v>115886.20164738923</v>
      </c>
      <c r="H67" s="2">
        <f t="shared" si="15"/>
        <v>272173.3374281553</v>
      </c>
      <c r="I67" s="2">
        <f t="shared" si="16"/>
        <v>730323.06945312233</v>
      </c>
      <c r="J67" s="2">
        <f t="shared" si="17"/>
        <v>76374.637381629553</v>
      </c>
      <c r="K67" s="6">
        <f t="shared" si="18"/>
        <v>0.11678999999999987</v>
      </c>
      <c r="L67" s="7">
        <f t="shared" si="19"/>
        <v>1.1167899999999999</v>
      </c>
      <c r="O67">
        <f t="shared" si="20"/>
        <v>2012</v>
      </c>
      <c r="P67" s="6">
        <f t="shared" si="5"/>
        <v>0.20741589734865107</v>
      </c>
      <c r="Q67" s="7"/>
      <c r="R67" s="6">
        <f t="shared" si="5"/>
        <v>0.15553506030677208</v>
      </c>
      <c r="S67" s="6">
        <f t="shared" si="5"/>
        <v>0.10569578882332401</v>
      </c>
      <c r="T67" s="7"/>
      <c r="U67" s="6">
        <f t="shared" si="5"/>
        <v>0.15867799675856697</v>
      </c>
      <c r="V67" s="6">
        <f t="shared" si="7"/>
        <v>0.37267525676268598</v>
      </c>
      <c r="W67" s="6">
        <f t="shared" si="21"/>
        <v>1</v>
      </c>
      <c r="X67" s="7">
        <f t="shared" si="22"/>
        <v>0.62732474323731413</v>
      </c>
      <c r="Y67" s="7">
        <f t="shared" si="23"/>
        <v>0</v>
      </c>
      <c r="Z67" s="6"/>
      <c r="AB67">
        <f t="shared" si="24"/>
        <v>2012</v>
      </c>
      <c r="AC67" s="1" t="b">
        <f t="shared" si="25"/>
        <v>1</v>
      </c>
      <c r="AE67" s="1" t="b">
        <f t="shared" si="40"/>
        <v>1</v>
      </c>
      <c r="AF67" s="1" t="b">
        <f t="shared" si="41"/>
        <v>1</v>
      </c>
      <c r="AH67" s="1" t="b">
        <f t="shared" si="34"/>
        <v>1</v>
      </c>
      <c r="AI67" s="1" t="b">
        <f t="shared" si="27"/>
        <v>0</v>
      </c>
      <c r="AJ67" s="1" t="b">
        <f t="shared" si="28"/>
        <v>1</v>
      </c>
      <c r="AL67">
        <f t="shared" si="29"/>
        <v>2012</v>
      </c>
      <c r="AM67" s="2">
        <f t="shared" si="42"/>
        <v>146064.61389062446</v>
      </c>
      <c r="AN67" s="2"/>
      <c r="AO67" s="2">
        <f t="shared" si="37"/>
        <v>109548.46041796835</v>
      </c>
      <c r="AP67" s="2">
        <f t="shared" si="37"/>
        <v>73032.30694531223</v>
      </c>
      <c r="AQ67" s="2"/>
      <c r="AR67" s="2">
        <f t="shared" si="43"/>
        <v>109548.46041796835</v>
      </c>
      <c r="AS67" s="2">
        <f t="shared" si="43"/>
        <v>292129.22778124892</v>
      </c>
      <c r="AT67" s="2">
        <f t="shared" si="30"/>
        <v>730323.06945312233</v>
      </c>
      <c r="AU67" s="2">
        <f t="shared" si="31"/>
        <v>0</v>
      </c>
    </row>
    <row r="68" spans="1:47" x14ac:dyDescent="0.2">
      <c r="A68">
        <f t="shared" si="4"/>
        <v>2013</v>
      </c>
      <c r="B68" s="2">
        <f t="shared" si="36"/>
        <v>193068.20664062741</v>
      </c>
      <c r="C68" s="2"/>
      <c r="D68" s="2">
        <f t="shared" si="38"/>
        <v>147890.4215642573</v>
      </c>
      <c r="E68" s="2">
        <f t="shared" si="39"/>
        <v>100507.06081813868</v>
      </c>
      <c r="F68" s="2"/>
      <c r="G68" s="2">
        <f t="shared" si="35"/>
        <v>126024.54886483078</v>
      </c>
      <c r="H68" s="2">
        <f t="shared" si="15"/>
        <v>285527.10723339271</v>
      </c>
      <c r="I68" s="2">
        <f t="shared" ref="I68:I70" si="44">SUM(B68:H68)</f>
        <v>853017.34512124676</v>
      </c>
      <c r="J68" s="2">
        <f t="shared" si="17"/>
        <v>122694.27566812444</v>
      </c>
      <c r="K68" s="6">
        <f t="shared" si="18"/>
        <v>0.16799999999999984</v>
      </c>
      <c r="L68" s="7">
        <f t="shared" si="19"/>
        <v>1.1679999999999999</v>
      </c>
      <c r="O68">
        <f t="shared" si="20"/>
        <v>2013</v>
      </c>
      <c r="P68" s="6">
        <f t="shared" ref="P68:P70" si="45">B68/$I68</f>
        <v>0.22633561643835617</v>
      </c>
      <c r="Q68" s="7"/>
      <c r="R68" s="6">
        <f t="shared" ref="R68:S70" si="46">D68/$I68</f>
        <v>0.17337328767123292</v>
      </c>
      <c r="S68" s="6">
        <f t="shared" si="46"/>
        <v>0.11782534246575342</v>
      </c>
      <c r="T68" s="7"/>
      <c r="U68" s="6">
        <f t="shared" ref="U68:U70" si="47">G68/$I68</f>
        <v>0.14773972602739727</v>
      </c>
      <c r="V68" s="6">
        <f t="shared" si="7"/>
        <v>0.33472602739726032</v>
      </c>
      <c r="W68" s="6">
        <f t="shared" ref="W68:W69" si="48">SUM(P68:V68)</f>
        <v>1</v>
      </c>
      <c r="X68" s="7">
        <f t="shared" ref="X68:X69" si="49">SUM(P68:U68)</f>
        <v>0.66527397260273979</v>
      </c>
      <c r="Y68" s="7">
        <f t="shared" si="23"/>
        <v>0</v>
      </c>
      <c r="Z68" s="6"/>
      <c r="AB68">
        <f t="shared" si="24"/>
        <v>2013</v>
      </c>
      <c r="AC68" s="1" t="b">
        <f t="shared" si="25"/>
        <v>1</v>
      </c>
      <c r="AE68" s="1" t="b">
        <f t="shared" si="40"/>
        <v>1</v>
      </c>
      <c r="AF68" s="1" t="b">
        <f t="shared" si="41"/>
        <v>1</v>
      </c>
      <c r="AH68" s="1" t="b">
        <f t="shared" si="34"/>
        <v>0</v>
      </c>
      <c r="AI68" s="39" t="b">
        <f t="shared" si="27"/>
        <v>1</v>
      </c>
      <c r="AJ68" s="1" t="b">
        <f t="shared" si="28"/>
        <v>1</v>
      </c>
      <c r="AL68">
        <f t="shared" si="29"/>
        <v>2013</v>
      </c>
      <c r="AM68" s="2">
        <f t="shared" si="42"/>
        <v>170603.46902424935</v>
      </c>
      <c r="AN68" s="2"/>
      <c r="AO68" s="2">
        <f t="shared" si="37"/>
        <v>127952.60176818701</v>
      </c>
      <c r="AP68" s="2">
        <f t="shared" si="37"/>
        <v>85301.734512124676</v>
      </c>
      <c r="AQ68" s="2"/>
      <c r="AR68" s="2">
        <f t="shared" si="43"/>
        <v>127952.60176818701</v>
      </c>
      <c r="AS68" s="2">
        <f t="shared" si="43"/>
        <v>341206.93804849871</v>
      </c>
      <c r="AT68" s="2">
        <f t="shared" ref="AT68:AT70" si="50">I68</f>
        <v>853017.34512124676</v>
      </c>
      <c r="AU68" s="2">
        <f t="shared" si="31"/>
        <v>0</v>
      </c>
    </row>
    <row r="69" spans="1:47" x14ac:dyDescent="0.2">
      <c r="A69">
        <f t="shared" si="4"/>
        <v>2014</v>
      </c>
      <c r="B69" s="2">
        <f t="shared" si="36"/>
        <v>193651.99768942545</v>
      </c>
      <c r="C69" s="2"/>
      <c r="D69" s="2">
        <f t="shared" si="38"/>
        <v>145354.15560866045</v>
      </c>
      <c r="E69" s="2">
        <f t="shared" si="39"/>
        <v>91588.47234566827</v>
      </c>
      <c r="F69" s="2"/>
      <c r="G69" s="2">
        <f t="shared" si="35"/>
        <v>122527.41145321589</v>
      </c>
      <c r="H69" s="2">
        <f t="shared" si="15"/>
        <v>360860.45768009225</v>
      </c>
      <c r="I69" s="2">
        <f t="shared" si="44"/>
        <v>913982.49477706221</v>
      </c>
      <c r="J69" s="2">
        <f t="shared" si="17"/>
        <v>60965.149655815447</v>
      </c>
      <c r="K69" s="6">
        <f t="shared" si="18"/>
        <v>7.1469999999999936E-2</v>
      </c>
      <c r="L69" s="7">
        <f t="shared" si="19"/>
        <v>1.0714699999999999</v>
      </c>
      <c r="O69">
        <f t="shared" si="20"/>
        <v>2014</v>
      </c>
      <c r="P69" s="6">
        <f t="shared" si="45"/>
        <v>0.21187714075055766</v>
      </c>
      <c r="Q69" s="7"/>
      <c r="R69" s="6">
        <f t="shared" si="46"/>
        <v>0.15903385069110662</v>
      </c>
      <c r="S69" s="6">
        <f t="shared" si="46"/>
        <v>0.10020812528582229</v>
      </c>
      <c r="T69" s="7"/>
      <c r="U69" s="6">
        <f t="shared" si="47"/>
        <v>0.13405881639243283</v>
      </c>
      <c r="V69" s="6">
        <f t="shared" si="7"/>
        <v>0.3948220668800807</v>
      </c>
      <c r="W69" s="6">
        <f t="shared" si="48"/>
        <v>1</v>
      </c>
      <c r="X69" s="7">
        <f t="shared" si="49"/>
        <v>0.60517793311991941</v>
      </c>
      <c r="Y69" s="7">
        <f t="shared" si="23"/>
        <v>0</v>
      </c>
      <c r="Z69" s="6"/>
      <c r="AB69">
        <f t="shared" si="24"/>
        <v>2014</v>
      </c>
      <c r="AC69" s="1" t="b">
        <f t="shared" si="25"/>
        <v>1</v>
      </c>
      <c r="AE69" s="1" t="b">
        <f t="shared" si="40"/>
        <v>1</v>
      </c>
      <c r="AF69" s="1" t="b">
        <f t="shared" si="41"/>
        <v>1</v>
      </c>
      <c r="AH69" s="1" t="b">
        <f t="shared" si="34"/>
        <v>0</v>
      </c>
      <c r="AI69" s="1" t="b">
        <f t="shared" si="27"/>
        <v>0</v>
      </c>
      <c r="AJ69" s="1" t="b">
        <f t="shared" si="28"/>
        <v>1</v>
      </c>
      <c r="AL69">
        <f t="shared" si="29"/>
        <v>2014</v>
      </c>
      <c r="AM69" s="2">
        <f t="shared" si="42"/>
        <v>182796.49895541245</v>
      </c>
      <c r="AN69" s="2"/>
      <c r="AO69" s="2">
        <f t="shared" si="37"/>
        <v>137097.37421655931</v>
      </c>
      <c r="AP69" s="2">
        <f t="shared" si="37"/>
        <v>91398.249477706224</v>
      </c>
      <c r="AQ69" s="2"/>
      <c r="AR69" s="2">
        <f t="shared" si="43"/>
        <v>137097.37421655931</v>
      </c>
      <c r="AS69" s="2">
        <f t="shared" si="43"/>
        <v>365592.9979108249</v>
      </c>
      <c r="AT69" s="2">
        <f t="shared" si="50"/>
        <v>913982.49477706221</v>
      </c>
      <c r="AU69" s="2">
        <f t="shared" si="31"/>
        <v>0</v>
      </c>
    </row>
    <row r="70" spans="1:47" x14ac:dyDescent="0.2">
      <c r="A70">
        <f t="shared" si="4"/>
        <v>2015</v>
      </c>
      <c r="B70" s="2">
        <f t="shared" si="36"/>
        <v>185081.45519235509</v>
      </c>
      <c r="C70" s="2"/>
      <c r="D70" s="2">
        <f t="shared" si="38"/>
        <v>135095.75255299755</v>
      </c>
      <c r="E70" s="2">
        <f t="shared" si="39"/>
        <v>87943.395647448924</v>
      </c>
      <c r="F70" s="2"/>
      <c r="G70" s="2">
        <f t="shared" si="35"/>
        <v>131106.21896329569</v>
      </c>
      <c r="H70" s="2">
        <f t="shared" si="15"/>
        <v>366689.77690455731</v>
      </c>
      <c r="I70" s="2">
        <f t="shared" si="44"/>
        <v>905916.59926065453</v>
      </c>
      <c r="J70" s="2">
        <f t="shared" si="17"/>
        <v>-8065.895516407676</v>
      </c>
      <c r="K70" s="6">
        <f t="shared" si="18"/>
        <v>-8.8250000000001123E-3</v>
      </c>
      <c r="L70" s="7">
        <f t="shared" si="19"/>
        <v>0.99117499999999992</v>
      </c>
      <c r="O70">
        <f t="shared" si="20"/>
        <v>2015</v>
      </c>
      <c r="P70" s="6">
        <f t="shared" si="45"/>
        <v>0.20430297374328449</v>
      </c>
      <c r="Q70" s="7"/>
      <c r="R70" s="6">
        <f t="shared" si="46"/>
        <v>0.14912603727898707</v>
      </c>
      <c r="S70" s="6">
        <f t="shared" si="46"/>
        <v>9.7076701894216466E-2</v>
      </c>
      <c r="T70" s="7"/>
      <c r="U70" s="6">
        <f t="shared" si="47"/>
        <v>0.1447221731782985</v>
      </c>
      <c r="V70" s="6">
        <f t="shared" si="7"/>
        <v>0.4047721139052135</v>
      </c>
      <c r="W70" s="6">
        <f t="shared" ref="W70" si="51">SUM(P70:V70)</f>
        <v>1</v>
      </c>
      <c r="X70" s="7">
        <f t="shared" ref="X70" si="52">SUM(P70:U70)</f>
        <v>0.5952278860947865</v>
      </c>
      <c r="Y70" s="7">
        <f t="shared" si="23"/>
        <v>0</v>
      </c>
      <c r="Z70" s="6"/>
      <c r="AB70">
        <f t="shared" si="24"/>
        <v>2015</v>
      </c>
      <c r="AC70" s="1" t="b">
        <f t="shared" si="25"/>
        <v>1</v>
      </c>
      <c r="AE70" s="1" t="b">
        <f t="shared" si="40"/>
        <v>0</v>
      </c>
      <c r="AF70" s="1" t="b">
        <f t="shared" si="41"/>
        <v>1</v>
      </c>
      <c r="AH70" s="1" t="b">
        <f t="shared" si="34"/>
        <v>0</v>
      </c>
      <c r="AI70" s="1" t="b">
        <f t="shared" si="27"/>
        <v>0</v>
      </c>
      <c r="AJ70" s="1" t="b">
        <f t="shared" si="28"/>
        <v>1</v>
      </c>
      <c r="AL70">
        <f t="shared" ref="AL70" si="53">A70</f>
        <v>2015</v>
      </c>
      <c r="AM70" s="2">
        <f t="shared" si="42"/>
        <v>181183.31985213092</v>
      </c>
      <c r="AN70" s="2"/>
      <c r="AO70" s="2">
        <f t="shared" ref="AO70:AP75" si="54">$I70*AO$42</f>
        <v>135887.48988909819</v>
      </c>
      <c r="AP70" s="2">
        <f t="shared" si="54"/>
        <v>90591.659926065462</v>
      </c>
      <c r="AQ70" s="2"/>
      <c r="AR70" s="2">
        <f t="shared" si="43"/>
        <v>135887.48988909819</v>
      </c>
      <c r="AS70" s="2">
        <f t="shared" si="43"/>
        <v>362366.63970426185</v>
      </c>
      <c r="AT70" s="2">
        <f t="shared" si="50"/>
        <v>905916.59926065453</v>
      </c>
      <c r="AU70" s="2">
        <f t="shared" si="31"/>
        <v>0</v>
      </c>
    </row>
    <row r="71" spans="1:47" x14ac:dyDescent="0.2">
      <c r="A71">
        <f t="shared" si="4"/>
        <v>2016</v>
      </c>
      <c r="B71" s="2">
        <f t="shared" si="36"/>
        <v>202599.18825865281</v>
      </c>
      <c r="C71" s="2"/>
      <c r="D71" s="2">
        <f t="shared" ref="D71:E71" si="55">AO70*(1+(D32/100))</f>
        <v>150930.23501982135</v>
      </c>
      <c r="E71" s="2">
        <f t="shared" si="55"/>
        <v>107052.16453463155</v>
      </c>
      <c r="F71" s="2"/>
      <c r="G71" s="2">
        <f t="shared" ref="G71:H71" si="56">AR70*(1+(G32/100))</f>
        <v>142206.25816894125</v>
      </c>
      <c r="H71" s="2">
        <f t="shared" si="56"/>
        <v>371425.80569686834</v>
      </c>
      <c r="I71" s="2">
        <f t="shared" ref="I71:I72" si="57">SUM(B71:H71)</f>
        <v>974213.65167891525</v>
      </c>
      <c r="J71" s="2">
        <f t="shared" ref="J71:J72" si="58">I71-I70</f>
        <v>68297.052418260719</v>
      </c>
      <c r="K71" s="6">
        <f t="shared" ref="K71:K72" si="59">(J71/I70)</f>
        <v>7.5389999999999971E-2</v>
      </c>
      <c r="L71" s="7">
        <f t="shared" ref="L71:L72" si="60">K71+1</f>
        <v>1.0753900000000001</v>
      </c>
      <c r="O71">
        <f t="shared" ref="O71:O72" si="61">A71</f>
        <v>2016</v>
      </c>
      <c r="P71" s="6">
        <f t="shared" ref="P71:P72" si="62">B71/$I71</f>
        <v>0.20796176270934269</v>
      </c>
      <c r="Q71" s="7"/>
      <c r="R71" s="6">
        <f t="shared" ref="R71:R72" si="63">D71/$I71</f>
        <v>0.15492518993109478</v>
      </c>
      <c r="S71" s="6">
        <f t="shared" ref="S71:S72" si="64">E71/$I71</f>
        <v>0.10988571587982035</v>
      </c>
      <c r="T71" s="7"/>
      <c r="U71" s="6">
        <f t="shared" ref="U71:U72" si="65">G71/$I71</f>
        <v>0.1459702991472861</v>
      </c>
      <c r="V71" s="6">
        <f t="shared" ref="V71:V72" si="66">H71/$I71</f>
        <v>0.38125703233245611</v>
      </c>
      <c r="W71" s="6">
        <f t="shared" ref="W71:W72" si="67">SUM(P71:V71)</f>
        <v>1</v>
      </c>
      <c r="X71" s="7">
        <f t="shared" ref="X71:X72" si="68">SUM(P71:U71)</f>
        <v>0.61874296766754389</v>
      </c>
      <c r="Y71" s="7">
        <f t="shared" ref="Y71:Y72" si="69">W71-(X71+V71)</f>
        <v>0</v>
      </c>
      <c r="Z71" s="6"/>
      <c r="AB71">
        <f t="shared" ref="AB71:AB72" si="70">O71</f>
        <v>2016</v>
      </c>
      <c r="AC71" s="1" t="b">
        <f t="shared" ref="AC71:AC72" si="71">AND((B71/$I71)&gt;0.15,(B71/$I71)&lt;0.25)</f>
        <v>1</v>
      </c>
      <c r="AE71" s="1" t="b">
        <f t="shared" ref="AE71:AE72" si="72">AND((D71/$I71)&gt;0.15,(D71/$I71)&lt;0.25)</f>
        <v>1</v>
      </c>
      <c r="AF71" s="1" t="b">
        <f t="shared" ref="AF71:AF72" si="73">AND((E71/$I71)&gt;0.05,(E71/$I71)&lt;0.15)</f>
        <v>1</v>
      </c>
      <c r="AH71" s="1" t="b">
        <f t="shared" ref="AH71:AH72" si="74">AND((G71/$I71)&gt;0.15,(G71/$I71)&lt;0.25)</f>
        <v>0</v>
      </c>
      <c r="AI71" s="1" t="b">
        <f t="shared" ref="AI71:AI72" si="75">AND((H71/$I71)&gt;0.25,(H71/$I71)&lt;0.35)</f>
        <v>0</v>
      </c>
      <c r="AJ71" s="1" t="b">
        <f t="shared" ref="AJ71:AJ72" si="76">AND((I71/$I71)&gt;0.999,(I71/$I71)&lt;1.01)</f>
        <v>1</v>
      </c>
      <c r="AL71">
        <f t="shared" ref="AL71:AL72" si="77">A71</f>
        <v>2016</v>
      </c>
      <c r="AM71" s="2">
        <f t="shared" si="42"/>
        <v>194842.73033578307</v>
      </c>
      <c r="AN71" s="2"/>
      <c r="AO71" s="2">
        <f t="shared" si="54"/>
        <v>146132.04775183729</v>
      </c>
      <c r="AP71" s="2">
        <f t="shared" si="54"/>
        <v>97421.365167891534</v>
      </c>
      <c r="AQ71" s="2"/>
      <c r="AR71" s="2">
        <f t="shared" si="43"/>
        <v>146132.04775183729</v>
      </c>
      <c r="AS71" s="2">
        <f t="shared" si="43"/>
        <v>389685.46067156614</v>
      </c>
      <c r="AT71" s="2">
        <f t="shared" ref="AT71:AT72" si="78">I71</f>
        <v>974213.65167891525</v>
      </c>
      <c r="AU71" s="2">
        <f t="shared" ref="AU71:AU72" si="79">AT71-I71</f>
        <v>0</v>
      </c>
    </row>
    <row r="72" spans="1:47" x14ac:dyDescent="0.2">
      <c r="A72">
        <f t="shared" si="4"/>
        <v>2017</v>
      </c>
      <c r="B72" s="2">
        <f t="shared" si="36"/>
        <v>237065.14999954723</v>
      </c>
      <c r="C72" s="2"/>
      <c r="D72" s="2">
        <f t="shared" ref="D72:E72" si="80">AO71*(1+(D33/100))</f>
        <v>174773.92911119739</v>
      </c>
      <c r="E72" s="2">
        <f t="shared" si="80"/>
        <v>113106.20495992208</v>
      </c>
      <c r="F72" s="2"/>
      <c r="G72" s="2">
        <f t="shared" ref="G72:H72" si="81">AR71*(1+(G33/100))</f>
        <v>186172.22883584071</v>
      </c>
      <c r="H72" s="2">
        <f t="shared" si="81"/>
        <v>403168.57761080231</v>
      </c>
      <c r="I72" s="2">
        <f t="shared" si="57"/>
        <v>1114286.0905173097</v>
      </c>
      <c r="J72" s="2">
        <f t="shared" si="58"/>
        <v>140072.43883839448</v>
      </c>
      <c r="K72" s="6">
        <f t="shared" si="59"/>
        <v>0.14378000000000005</v>
      </c>
      <c r="L72" s="7">
        <f t="shared" si="60"/>
        <v>1.14378</v>
      </c>
      <c r="O72">
        <f t="shared" si="61"/>
        <v>2017</v>
      </c>
      <c r="P72" s="6">
        <f t="shared" si="62"/>
        <v>0.2127507038066761</v>
      </c>
      <c r="Q72" s="7"/>
      <c r="R72" s="6">
        <f t="shared" si="63"/>
        <v>0.15684834496144362</v>
      </c>
      <c r="S72" s="6">
        <f t="shared" si="64"/>
        <v>0.10150553428106805</v>
      </c>
      <c r="T72" s="7"/>
      <c r="U72" s="6">
        <f t="shared" si="65"/>
        <v>0.16707758485023344</v>
      </c>
      <c r="V72" s="6">
        <f t="shared" si="66"/>
        <v>0.36181783210057877</v>
      </c>
      <c r="W72" s="6">
        <f t="shared" si="67"/>
        <v>1</v>
      </c>
      <c r="X72" s="7">
        <f t="shared" si="68"/>
        <v>0.63818216789942128</v>
      </c>
      <c r="Y72" s="7">
        <f t="shared" si="69"/>
        <v>0</v>
      </c>
      <c r="Z72" s="6"/>
      <c r="AB72">
        <f t="shared" si="70"/>
        <v>2017</v>
      </c>
      <c r="AC72" s="1" t="b">
        <f t="shared" si="71"/>
        <v>1</v>
      </c>
      <c r="AE72" s="1" t="b">
        <f t="shared" si="72"/>
        <v>1</v>
      </c>
      <c r="AF72" s="1" t="b">
        <f t="shared" si="73"/>
        <v>1</v>
      </c>
      <c r="AH72" s="1" t="b">
        <f t="shared" si="74"/>
        <v>1</v>
      </c>
      <c r="AI72" s="1" t="b">
        <f t="shared" si="75"/>
        <v>0</v>
      </c>
      <c r="AJ72" s="1" t="b">
        <f t="shared" si="76"/>
        <v>1</v>
      </c>
      <c r="AL72">
        <f t="shared" si="77"/>
        <v>2017</v>
      </c>
      <c r="AM72" s="2">
        <f t="shared" si="42"/>
        <v>222857.21810346196</v>
      </c>
      <c r="AN72" s="2"/>
      <c r="AO72" s="2">
        <f t="shared" si="54"/>
        <v>167142.91357759645</v>
      </c>
      <c r="AP72" s="2">
        <f t="shared" si="54"/>
        <v>111428.60905173098</v>
      </c>
      <c r="AQ72" s="2"/>
      <c r="AR72" s="2">
        <f t="shared" si="43"/>
        <v>167142.91357759645</v>
      </c>
      <c r="AS72" s="2">
        <f t="shared" si="43"/>
        <v>445714.43620692391</v>
      </c>
      <c r="AT72" s="2">
        <f t="shared" si="78"/>
        <v>1114286.0905173097</v>
      </c>
      <c r="AU72" s="2">
        <f t="shared" si="79"/>
        <v>0</v>
      </c>
    </row>
    <row r="73" spans="1:47" x14ac:dyDescent="0.2">
      <c r="A73">
        <f t="shared" si="4"/>
        <v>2018</v>
      </c>
      <c r="B73" s="2">
        <f t="shared" si="36"/>
        <v>212828.64328880617</v>
      </c>
      <c r="C73" s="2"/>
      <c r="D73" s="2">
        <f t="shared" ref="D73" si="82">AO72*(1+(D34/100))</f>
        <v>151598.62261487998</v>
      </c>
      <c r="E73" s="2">
        <f t="shared" ref="E73" si="83">AP72*(1+(E34/100))</f>
        <v>100954.31980086827</v>
      </c>
      <c r="F73" s="2"/>
      <c r="G73" s="2">
        <f t="shared" ref="G73" si="84">AR72*(1+(G34/100))</f>
        <v>142907.19110884497</v>
      </c>
      <c r="H73" s="2">
        <f t="shared" ref="H73" si="85">AS72*(1+(H34/100))</f>
        <v>445268.72177071701</v>
      </c>
      <c r="I73" s="2">
        <f t="shared" ref="I73" si="86">SUM(B73:H73)</f>
        <v>1053557.4985841163</v>
      </c>
      <c r="J73" s="2">
        <f t="shared" ref="J73" si="87">I73-I72</f>
        <v>-60728.591933193384</v>
      </c>
      <c r="K73" s="6">
        <f t="shared" ref="K73" si="88">(J73/I72)</f>
        <v>-5.45E-2</v>
      </c>
      <c r="L73" s="7">
        <f t="shared" ref="L73" si="89">K73+1</f>
        <v>0.94550000000000001</v>
      </c>
      <c r="O73">
        <f t="shared" ref="O73" si="90">A73</f>
        <v>2018</v>
      </c>
      <c r="P73" s="6">
        <f t="shared" ref="P73" si="91">B73/$I73</f>
        <v>0.20200951877313592</v>
      </c>
      <c r="Q73" s="7"/>
      <c r="R73" s="6">
        <f t="shared" ref="R73" si="92">D73/$I73</f>
        <v>0.14389212057112638</v>
      </c>
      <c r="S73" s="6">
        <f t="shared" ref="S73" si="93">E73/$I73</f>
        <v>9.5822316234796409E-2</v>
      </c>
      <c r="T73" s="7"/>
      <c r="U73" s="6">
        <f t="shared" ref="U73" si="94">G73/$I73</f>
        <v>0.13564251718667372</v>
      </c>
      <c r="V73" s="6">
        <f t="shared" ref="V73" si="95">H73/$I73</f>
        <v>0.42263352723426761</v>
      </c>
      <c r="W73" s="6">
        <f t="shared" ref="W73" si="96">SUM(P73:V73)</f>
        <v>1</v>
      </c>
      <c r="X73" s="7">
        <f t="shared" ref="X73" si="97">SUM(P73:U73)</f>
        <v>0.5773664727657325</v>
      </c>
      <c r="Y73" s="7">
        <f t="shared" ref="Y73" si="98">W73-(X73+V73)</f>
        <v>0</v>
      </c>
      <c r="Z73" s="6"/>
      <c r="AB73">
        <f t="shared" ref="AB73" si="99">O73</f>
        <v>2018</v>
      </c>
      <c r="AC73" s="1" t="b">
        <f t="shared" ref="AC73" si="100">AND((B73/$I73)&gt;0.15,(B73/$I73)&lt;0.25)</f>
        <v>1</v>
      </c>
      <c r="AE73" s="1" t="b">
        <f t="shared" ref="AE73" si="101">AND((D73/$I73)&gt;0.15,(D73/$I73)&lt;0.25)</f>
        <v>0</v>
      </c>
      <c r="AF73" s="1" t="b">
        <f t="shared" ref="AF73" si="102">AND((E73/$I73)&gt;0.05,(E73/$I73)&lt;0.15)</f>
        <v>1</v>
      </c>
      <c r="AH73" s="1" t="b">
        <f t="shared" ref="AH73" si="103">AND((G73/$I73)&gt;0.15,(G73/$I73)&lt;0.25)</f>
        <v>0</v>
      </c>
      <c r="AI73" s="1" t="b">
        <f t="shared" ref="AI73" si="104">AND((H73/$I73)&gt;0.25,(H73/$I73)&lt;0.35)</f>
        <v>0</v>
      </c>
      <c r="AJ73" s="1" t="b">
        <f t="shared" ref="AJ73" si="105">AND((I73/$I73)&gt;0.999,(I73/$I73)&lt;1.01)</f>
        <v>1</v>
      </c>
      <c r="AL73">
        <f t="shared" ref="AL73" si="106">A73</f>
        <v>2018</v>
      </c>
      <c r="AM73" s="2">
        <f t="shared" si="42"/>
        <v>210711.49971682328</v>
      </c>
      <c r="AN73" s="2"/>
      <c r="AO73" s="2">
        <f t="shared" si="54"/>
        <v>158033.62478761745</v>
      </c>
      <c r="AP73" s="2">
        <f t="shared" si="54"/>
        <v>105355.74985841164</v>
      </c>
      <c r="AQ73" s="2"/>
      <c r="AR73" s="2">
        <f t="shared" si="43"/>
        <v>158033.62478761745</v>
      </c>
      <c r="AS73" s="2">
        <f t="shared" si="43"/>
        <v>421422.99943364656</v>
      </c>
      <c r="AT73" s="2">
        <f t="shared" ref="AT73" si="107">I73</f>
        <v>1053557.4985841163</v>
      </c>
      <c r="AU73" s="2">
        <f t="shared" ref="AU73" si="108">AT73-I73</f>
        <v>0</v>
      </c>
    </row>
    <row r="74" spans="1:47" x14ac:dyDescent="0.2">
      <c r="A74">
        <f t="shared" ref="A74:A75" si="109">A35</f>
        <v>2019</v>
      </c>
      <c r="B74" s="2">
        <f t="shared" ref="B74:B75" si="110">AM73*(1+(B35/100))</f>
        <v>276992.90906774718</v>
      </c>
      <c r="C74" s="2"/>
      <c r="D74" s="2">
        <f t="shared" ref="D74:D75" si="111">AO73*(1+(D35/100))</f>
        <v>207073.98709721174</v>
      </c>
      <c r="E74" s="2">
        <f t="shared" ref="E74:E75" si="112">AP73*(1+(E35/100))</f>
        <v>134188.8793451626</v>
      </c>
      <c r="F74" s="2"/>
      <c r="G74" s="2">
        <f t="shared" ref="G74:G75" si="113">AR73*(1+(G35/100))</f>
        <v>192023.4968069382</v>
      </c>
      <c r="H74" s="2">
        <f t="shared" ref="H74:H75" si="114">AS73*(1+(H35/100))</f>
        <v>458145.79960429453</v>
      </c>
      <c r="I74" s="2">
        <f t="shared" ref="I74:I75" si="115">SUM(B74:H74)</f>
        <v>1268425.0719213544</v>
      </c>
      <c r="J74" s="2">
        <f t="shared" ref="J74:J75" si="116">I74-I73</f>
        <v>214867.57333723805</v>
      </c>
      <c r="K74" s="6">
        <f t="shared" ref="K74:K75" si="117">(J74/I73)</f>
        <v>0.20394480000000015</v>
      </c>
      <c r="L74" s="7">
        <f t="shared" ref="L74:L75" si="118">K74+1</f>
        <v>1.2039448000000001</v>
      </c>
      <c r="O74">
        <f t="shared" ref="O74:O75" si="119">A74</f>
        <v>2019</v>
      </c>
      <c r="P74" s="6">
        <f t="shared" ref="P74:P75" si="120">B74/$I74</f>
        <v>0.21837546040316794</v>
      </c>
      <c r="Q74" s="7"/>
      <c r="R74" s="6">
        <f t="shared" ref="R74:R75" si="121">D74/$I74</f>
        <v>0.16325283351861311</v>
      </c>
      <c r="S74" s="6">
        <f t="shared" ref="S74:S75" si="122">E74/$I74</f>
        <v>0.10579172732836256</v>
      </c>
      <c r="T74" s="7"/>
      <c r="U74" s="6">
        <f t="shared" ref="U74:U75" si="123">G74/$I74</f>
        <v>0.15138733935309989</v>
      </c>
      <c r="V74" s="6">
        <f t="shared" ref="V74:V75" si="124">H74/$I74</f>
        <v>0.36119263939675639</v>
      </c>
      <c r="W74" s="6">
        <f t="shared" ref="W74:W75" si="125">SUM(P74:V74)</f>
        <v>0.99999999999999989</v>
      </c>
      <c r="X74" s="7">
        <f t="shared" ref="X74:X75" si="126">SUM(P74:U74)</f>
        <v>0.6388073606032435</v>
      </c>
      <c r="Y74" s="7">
        <f t="shared" ref="Y74:Y75" si="127">W74-(X74+V74)</f>
        <v>0</v>
      </c>
      <c r="Z74" s="6"/>
      <c r="AB74">
        <f t="shared" ref="AB74:AB75" si="128">O74</f>
        <v>2019</v>
      </c>
      <c r="AC74" s="1" t="b">
        <f t="shared" ref="AC74:AC75" si="129">AND((B74/$I74)&gt;0.15,(B74/$I74)&lt;0.25)</f>
        <v>1</v>
      </c>
      <c r="AE74" s="1" t="b">
        <f t="shared" ref="AE74:AE75" si="130">AND((D74/$I74)&gt;0.15,(D74/$I74)&lt;0.25)</f>
        <v>1</v>
      </c>
      <c r="AF74" s="1" t="b">
        <f t="shared" ref="AF74:AF75" si="131">AND((E74/$I74)&gt;0.05,(E74/$I74)&lt;0.15)</f>
        <v>1</v>
      </c>
      <c r="AH74" s="1" t="b">
        <f t="shared" ref="AH74:AH75" si="132">AND((G74/$I74)&gt;0.15,(G74/$I74)&lt;0.25)</f>
        <v>1</v>
      </c>
      <c r="AI74" s="1" t="b">
        <f t="shared" ref="AI74:AI75" si="133">AND((H74/$I74)&gt;0.25,(H74/$I74)&lt;0.35)</f>
        <v>0</v>
      </c>
      <c r="AJ74" s="1" t="b">
        <f t="shared" ref="AJ74:AJ75" si="134">AND((I74/$I74)&gt;0.999,(I74/$I74)&lt;1.01)</f>
        <v>1</v>
      </c>
      <c r="AL74">
        <f t="shared" ref="AL74:AL75" si="135">A74</f>
        <v>2019</v>
      </c>
      <c r="AM74" s="2">
        <f t="shared" si="42"/>
        <v>253685.01438427088</v>
      </c>
      <c r="AN74" s="2"/>
      <c r="AO74" s="2">
        <f t="shared" si="54"/>
        <v>190263.76078820316</v>
      </c>
      <c r="AP74" s="2">
        <f t="shared" si="54"/>
        <v>126842.50719213544</v>
      </c>
      <c r="AQ74" s="2"/>
      <c r="AR74" s="2">
        <f t="shared" si="43"/>
        <v>190263.76078820316</v>
      </c>
      <c r="AS74" s="2">
        <f t="shared" si="43"/>
        <v>507370.02876854176</v>
      </c>
      <c r="AT74" s="2">
        <f t="shared" ref="AT74:AT75" si="136">I74</f>
        <v>1268425.0719213544</v>
      </c>
      <c r="AU74" s="2">
        <f t="shared" ref="AU74:AU75" si="137">AT74-I74</f>
        <v>0</v>
      </c>
    </row>
    <row r="75" spans="1:47" x14ac:dyDescent="0.2">
      <c r="A75">
        <f t="shared" si="109"/>
        <v>2020</v>
      </c>
      <c r="B75" s="2">
        <f t="shared" si="110"/>
        <v>300286.9515266614</v>
      </c>
      <c r="C75" s="2"/>
      <c r="D75" s="2">
        <f t="shared" si="111"/>
        <v>224967.87075597141</v>
      </c>
      <c r="E75" s="2">
        <f t="shared" si="112"/>
        <v>151082.11031655254</v>
      </c>
      <c r="F75" s="2"/>
      <c r="G75" s="2">
        <f t="shared" si="113"/>
        <v>211725.51300511247</v>
      </c>
      <c r="H75" s="2">
        <f t="shared" si="114"/>
        <v>546538.99498947314</v>
      </c>
      <c r="I75" s="2">
        <f t="shared" si="115"/>
        <v>1434601.4405937709</v>
      </c>
      <c r="J75" s="2">
        <f t="shared" si="116"/>
        <v>166176.36867241655</v>
      </c>
      <c r="K75" s="6">
        <f t="shared" si="117"/>
        <v>0.13100999999999993</v>
      </c>
      <c r="L75" s="7">
        <f t="shared" si="118"/>
        <v>1.1310099999999998</v>
      </c>
      <c r="O75">
        <f t="shared" si="119"/>
        <v>2020</v>
      </c>
      <c r="P75" s="6">
        <f t="shared" si="120"/>
        <v>0.20931733583257442</v>
      </c>
      <c r="Q75" s="7"/>
      <c r="R75" s="6">
        <f t="shared" si="121"/>
        <v>0.15681558960575062</v>
      </c>
      <c r="S75" s="6">
        <f t="shared" si="122"/>
        <v>0.1053129503717916</v>
      </c>
      <c r="T75" s="7"/>
      <c r="U75" s="6">
        <f t="shared" si="123"/>
        <v>0.14758490199025651</v>
      </c>
      <c r="V75" s="6">
        <f t="shared" si="124"/>
        <v>0.38096922219962687</v>
      </c>
      <c r="W75" s="6">
        <f t="shared" si="125"/>
        <v>1</v>
      </c>
      <c r="X75" s="7">
        <f t="shared" si="126"/>
        <v>0.61903077780037319</v>
      </c>
      <c r="Y75" s="7">
        <f t="shared" si="127"/>
        <v>0</v>
      </c>
      <c r="Z75" s="6"/>
      <c r="AB75">
        <f t="shared" si="128"/>
        <v>2020</v>
      </c>
      <c r="AC75" s="1" t="b">
        <f t="shared" si="129"/>
        <v>1</v>
      </c>
      <c r="AE75" s="1" t="b">
        <f t="shared" si="130"/>
        <v>1</v>
      </c>
      <c r="AF75" s="1" t="b">
        <f t="shared" si="131"/>
        <v>1</v>
      </c>
      <c r="AH75" s="1" t="b">
        <f t="shared" si="132"/>
        <v>0</v>
      </c>
      <c r="AI75" s="1" t="b">
        <f t="shared" si="133"/>
        <v>0</v>
      </c>
      <c r="AJ75" s="1" t="b">
        <f t="shared" si="134"/>
        <v>1</v>
      </c>
      <c r="AL75">
        <f t="shared" si="135"/>
        <v>2020</v>
      </c>
      <c r="AM75" s="2">
        <f t="shared" si="42"/>
        <v>286920.28811875422</v>
      </c>
      <c r="AN75" s="2"/>
      <c r="AO75" s="2">
        <f t="shared" si="54"/>
        <v>215190.21608906562</v>
      </c>
      <c r="AP75" s="2">
        <f t="shared" si="54"/>
        <v>143460.14405937711</v>
      </c>
      <c r="AQ75" s="2"/>
      <c r="AR75" s="2">
        <f t="shared" si="43"/>
        <v>215190.21608906562</v>
      </c>
      <c r="AS75" s="2">
        <f t="shared" si="43"/>
        <v>573840.57623750845</v>
      </c>
      <c r="AT75" s="2">
        <f t="shared" si="136"/>
        <v>1434601.4405937709</v>
      </c>
      <c r="AU75" s="2">
        <f t="shared" si="137"/>
        <v>0</v>
      </c>
    </row>
    <row r="76" spans="1:47" x14ac:dyDescent="0.2">
      <c r="A76" s="9" t="s">
        <v>94</v>
      </c>
      <c r="B76" s="10">
        <f>AM75</f>
        <v>286920.28811875422</v>
      </c>
      <c r="C76" s="10"/>
      <c r="D76" s="10">
        <f>AO75</f>
        <v>215190.21608906562</v>
      </c>
      <c r="E76" s="10">
        <f>AP75</f>
        <v>143460.14405937711</v>
      </c>
      <c r="F76" s="10"/>
      <c r="G76" s="10">
        <f>AR75</f>
        <v>215190.21608906562</v>
      </c>
      <c r="H76" s="10">
        <f>AS75</f>
        <v>573840.57623750845</v>
      </c>
      <c r="I76" s="10">
        <f>SUM(B76:H76)</f>
        <v>1434601.4405937712</v>
      </c>
      <c r="J76" s="10"/>
      <c r="K76" s="10"/>
      <c r="O76" s="74" t="s">
        <v>132</v>
      </c>
      <c r="P76" s="88">
        <f>P75</f>
        <v>0.20931733583257442</v>
      </c>
      <c r="Q76" s="74"/>
      <c r="R76" s="88">
        <f>R75</f>
        <v>0.15681558960575062</v>
      </c>
      <c r="S76" s="74"/>
      <c r="T76" s="74"/>
      <c r="U76" s="88">
        <f>U75</f>
        <v>0.14758490199025651</v>
      </c>
      <c r="V76" s="88">
        <f>V75</f>
        <v>0.38096922219962687</v>
      </c>
      <c r="W76" s="88">
        <f>W75</f>
        <v>1</v>
      </c>
      <c r="X76" s="88">
        <f>X75</f>
        <v>0.61903077780037319</v>
      </c>
      <c r="Y76" s="88">
        <f>Y75</f>
        <v>0</v>
      </c>
      <c r="AM76" s="22"/>
      <c r="AO76" s="22"/>
      <c r="AP76" s="22"/>
      <c r="AR76" s="22"/>
      <c r="AS76" s="22"/>
    </row>
    <row r="77" spans="1:47" x14ac:dyDescent="0.2">
      <c r="A77" s="11" t="s">
        <v>133</v>
      </c>
      <c r="I77" s="6">
        <f>(I76-I42)/I42</f>
        <v>13.346014405937712</v>
      </c>
      <c r="K77" s="6"/>
      <c r="R77" s="7"/>
      <c r="AO77" s="2"/>
    </row>
    <row r="78" spans="1:47" x14ac:dyDescent="0.2">
      <c r="A78" s="1" t="s">
        <v>96</v>
      </c>
      <c r="I78" s="29">
        <f>STDEV(L43:L75)</f>
        <v>0.10625552953014811</v>
      </c>
      <c r="K78" s="30"/>
      <c r="S78" s="89"/>
      <c r="T78" s="89"/>
      <c r="U78" s="90" t="s">
        <v>134</v>
      </c>
      <c r="V78" s="89" t="b">
        <f>IF((V75=V76),TRUE,FALSE)</f>
        <v>1</v>
      </c>
      <c r="W78" s="89"/>
      <c r="X78" s="91" t="b">
        <f>IF(((SUM(P75:U75))=X76),TRUE,FALSE)</f>
        <v>1</v>
      </c>
    </row>
    <row r="79" spans="1:47" x14ac:dyDescent="0.2">
      <c r="A79" s="1" t="s">
        <v>135</v>
      </c>
      <c r="I79" s="13">
        <f>((1+I77)^(1/I84))-1</f>
        <v>8.4057859627117093E-2</v>
      </c>
      <c r="K79" s="30"/>
    </row>
    <row r="80" spans="1:47" x14ac:dyDescent="0.2">
      <c r="A80" s="1" t="s">
        <v>98</v>
      </c>
      <c r="I80" s="31">
        <f>J63</f>
        <v>-130197.9484465787</v>
      </c>
    </row>
    <row r="81" spans="1:9" x14ac:dyDescent="0.2">
      <c r="A81" s="1" t="s">
        <v>136</v>
      </c>
      <c r="I81" s="32">
        <f>K63</f>
        <v>-0.21879750000000003</v>
      </c>
    </row>
    <row r="82" spans="1:9" x14ac:dyDescent="0.2">
      <c r="A82" s="3" t="s">
        <v>137</v>
      </c>
      <c r="I82" s="33">
        <f>I75-I76</f>
        <v>0</v>
      </c>
    </row>
    <row r="83" spans="1:9" x14ac:dyDescent="0.2">
      <c r="A83" s="3" t="s">
        <v>138</v>
      </c>
      <c r="I83" s="33">
        <f>((SUM(J43:J75))-(I76-I42))</f>
        <v>-2.3283064365386963E-10</v>
      </c>
    </row>
    <row r="84" spans="1:9" x14ac:dyDescent="0.2">
      <c r="A84" s="3" t="s">
        <v>139</v>
      </c>
      <c r="I84" s="3">
        <f>COUNTA(I43:I75)</f>
        <v>33</v>
      </c>
    </row>
    <row r="85" spans="1:9" x14ac:dyDescent="0.2">
      <c r="A85" s="95" t="s">
        <v>100</v>
      </c>
      <c r="B85" s="63"/>
      <c r="C85" s="63"/>
      <c r="D85" s="63"/>
      <c r="E85" s="63"/>
      <c r="G85" s="63"/>
      <c r="H85" s="63"/>
      <c r="I85" s="94">
        <f>X76</f>
        <v>0.61903077780037319</v>
      </c>
    </row>
    <row r="86" spans="1:9" x14ac:dyDescent="0.2">
      <c r="A86" s="95" t="s">
        <v>179</v>
      </c>
      <c r="B86" s="2"/>
      <c r="D86" s="2"/>
      <c r="E86" s="2"/>
      <c r="G86" s="2"/>
      <c r="H86" s="2"/>
      <c r="I86" s="94">
        <f>V76</f>
        <v>0.38096922219962687</v>
      </c>
    </row>
    <row r="87" spans="1:9" x14ac:dyDescent="0.2">
      <c r="B87" s="2"/>
      <c r="D87" s="2"/>
      <c r="E87" s="2"/>
      <c r="G87" s="2"/>
      <c r="H87" s="2"/>
      <c r="I87" s="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87"/>
  <sheetViews>
    <sheetView topLeftCell="A40" zoomScaleNormal="100" workbookViewId="0">
      <selection activeCell="E55" sqref="E55"/>
    </sheetView>
  </sheetViews>
  <sheetFormatPr baseColWidth="10" defaultColWidth="8.83203125" defaultRowHeight="15" x14ac:dyDescent="0.2"/>
  <cols>
    <col min="1" max="1" width="25.5" customWidth="1"/>
    <col min="2" max="2" width="9.83203125" bestFit="1" customWidth="1"/>
    <col min="3" max="4" width="9.33203125" bestFit="1" customWidth="1"/>
    <col min="5" max="5" width="10.1640625" customWidth="1"/>
    <col min="7" max="7" width="9.83203125" bestFit="1" customWidth="1"/>
    <col min="8" max="8" width="9.33203125" bestFit="1" customWidth="1"/>
    <col min="9" max="9" width="11.6640625" customWidth="1"/>
    <col min="10" max="10" width="10" bestFit="1" customWidth="1"/>
    <col min="28" max="28" width="10.83203125" bestFit="1" customWidth="1"/>
    <col min="29" max="30" width="9.33203125" bestFit="1" customWidth="1"/>
    <col min="31" max="31" width="10.33203125" customWidth="1"/>
    <col min="33" max="33" width="9.83203125" bestFit="1" customWidth="1"/>
    <col min="34" max="34" width="9.33203125" bestFit="1" customWidth="1"/>
    <col min="35" max="35" width="10.1640625" bestFit="1" customWidth="1"/>
  </cols>
  <sheetData>
    <row r="1" spans="1:8" x14ac:dyDescent="0.2">
      <c r="A1" t="s">
        <v>104</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9">
        <f>'Non-Rebalanced Portfolio'!D32</f>
        <v>11.07</v>
      </c>
      <c r="E32" s="17">
        <f>'Non-Rebalanced Portfolio'!E32</f>
        <v>18.170000000000002</v>
      </c>
      <c r="F32" s="19"/>
      <c r="G32" s="17">
        <f>'Non-Rebalanced Portfolio'!G32</f>
        <v>4.6500000000000004</v>
      </c>
      <c r="H32" s="17">
        <f>'Non-Rebalanced Portfolio'!H32</f>
        <v>2.5</v>
      </c>
    </row>
    <row r="33" spans="1:36" x14ac:dyDescent="0.2">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4" spans="1:36" x14ac:dyDescent="0.2">
      <c r="A34" s="17">
        <f>'Non-Rebalanced Portfolio'!A34</f>
        <v>2018</v>
      </c>
      <c r="B34" s="17">
        <f>'Non-Rebalanced Portfolio'!B34</f>
        <v>-4.5</v>
      </c>
      <c r="C34" s="19"/>
      <c r="D34" s="19">
        <f>'Non-Rebalanced Portfolio'!D34</f>
        <v>-9.3000000000000007</v>
      </c>
      <c r="E34" s="17">
        <f>'Non-Rebalanced Portfolio'!E34</f>
        <v>-9.4</v>
      </c>
      <c r="F34" s="19"/>
      <c r="G34" s="17">
        <f>'Non-Rebalanced Portfolio'!G34</f>
        <v>-14.5</v>
      </c>
      <c r="H34" s="17">
        <f>'Non-Rebalanced Portfolio'!H34</f>
        <v>-0.1</v>
      </c>
    </row>
    <row r="35" spans="1:36" x14ac:dyDescent="0.2">
      <c r="A35" s="17">
        <f>'Non-Rebalanced Portfolio'!A35</f>
        <v>2019</v>
      </c>
      <c r="B35" s="17">
        <f>'Non-Rebalanced Portfolio'!B35</f>
        <v>31.456</v>
      </c>
      <c r="C35" s="19"/>
      <c r="D35" s="19">
        <f>'Non-Rebalanced Portfolio'!D35</f>
        <v>31.031600000000001</v>
      </c>
      <c r="E35" s="17">
        <f>'Non-Rebalanced Portfolio'!E35</f>
        <v>27.3674</v>
      </c>
      <c r="F35" s="19"/>
      <c r="G35" s="17">
        <f>'Non-Rebalanced Portfolio'!G35</f>
        <v>21.507999999999999</v>
      </c>
      <c r="H35" s="17">
        <f>'Non-Rebalanced Portfolio'!H35</f>
        <v>8.7140000000000004</v>
      </c>
    </row>
    <row r="36" spans="1:36" x14ac:dyDescent="0.2">
      <c r="A36" s="17">
        <f>'Non-Rebalanced Portfolio'!A36</f>
        <v>2020</v>
      </c>
      <c r="B36" s="17">
        <f>'Non-Rebalanced Portfolio'!B36</f>
        <v>18.37</v>
      </c>
      <c r="C36" s="19"/>
      <c r="D36" s="19">
        <f>'Non-Rebalanced Portfolio'!D36</f>
        <v>18.239999999999998</v>
      </c>
      <c r="E36" s="17">
        <f>'Non-Rebalanced Portfolio'!E36</f>
        <v>19.11</v>
      </c>
      <c r="F36" s="19"/>
      <c r="G36" s="17">
        <f>'Non-Rebalanced Portfolio'!G36</f>
        <v>11.28</v>
      </c>
      <c r="H36" s="17">
        <f>'Non-Rebalanced Portfolio'!H36</f>
        <v>7.72</v>
      </c>
    </row>
    <row r="38" spans="1:36" x14ac:dyDescent="0.2">
      <c r="A38" s="57"/>
    </row>
    <row r="39" spans="1:36" x14ac:dyDescent="0.2">
      <c r="A39" s="20" t="s">
        <v>148</v>
      </c>
      <c r="O39" s="20" t="s">
        <v>149</v>
      </c>
      <c r="AA39" s="20" t="s">
        <v>150</v>
      </c>
    </row>
    <row r="40" spans="1:36"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P40" s="4" t="str">
        <f>B40</f>
        <v>LC Stocks</v>
      </c>
      <c r="Q40" s="4" t="str">
        <f t="shared" ref="Q40:V41" si="1">C40</f>
        <v>Ext Mkt</v>
      </c>
      <c r="R40" s="4" t="str">
        <f t="shared" si="1"/>
        <v>Mcap Stk</v>
      </c>
      <c r="S40" s="4" t="str">
        <f t="shared" si="1"/>
        <v>Small Cap</v>
      </c>
      <c r="T40" s="4" t="str">
        <f t="shared" si="1"/>
        <v>Intl Val</v>
      </c>
      <c r="U40" s="4" t="str">
        <f t="shared" si="1"/>
        <v>Tot Int Stk</v>
      </c>
      <c r="V40" s="4" t="str">
        <f t="shared" si="1"/>
        <v>Bonds</v>
      </c>
      <c r="W40" s="5"/>
      <c r="X40" s="5" t="s">
        <v>124</v>
      </c>
      <c r="Y40" s="5" t="s">
        <v>125</v>
      </c>
      <c r="AB40" s="4" t="str">
        <f t="shared" ref="AB40:AH41" si="2">P40</f>
        <v>LC Stocks</v>
      </c>
      <c r="AC40" s="4" t="str">
        <f t="shared" si="2"/>
        <v>Ext Mkt</v>
      </c>
      <c r="AD40" s="4" t="str">
        <f t="shared" si="2"/>
        <v>Mcap Stk</v>
      </c>
      <c r="AE40" s="4" t="str">
        <f t="shared" si="2"/>
        <v>Small Cap</v>
      </c>
      <c r="AF40" s="4" t="str">
        <f t="shared" si="2"/>
        <v>Intl Val</v>
      </c>
      <c r="AG40" s="4" t="str">
        <f t="shared" si="2"/>
        <v>Tot Int Stk</v>
      </c>
      <c r="AH40" s="4" t="str">
        <f t="shared" si="2"/>
        <v>Bonds</v>
      </c>
      <c r="AI40" s="4"/>
      <c r="AJ40" t="s">
        <v>144</v>
      </c>
    </row>
    <row r="41" spans="1:36"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O41" t="s">
        <v>126</v>
      </c>
      <c r="P41" s="4" t="str">
        <f>B41</f>
        <v>VFIAX</v>
      </c>
      <c r="Q41" s="4" t="str">
        <f t="shared" si="1"/>
        <v>VEXMX</v>
      </c>
      <c r="R41" s="4" t="str">
        <f t="shared" si="1"/>
        <v>VIMAX</v>
      </c>
      <c r="S41" s="4" t="str">
        <f t="shared" si="1"/>
        <v>VSMAX</v>
      </c>
      <c r="T41" s="4" t="str">
        <f t="shared" si="1"/>
        <v>VTRIX</v>
      </c>
      <c r="U41" s="4" t="str">
        <f t="shared" si="1"/>
        <v>VTIAX</v>
      </c>
      <c r="V41" s="4" t="str">
        <f t="shared" si="1"/>
        <v>VBTLX</v>
      </c>
      <c r="W41" s="5" t="s">
        <v>67</v>
      </c>
      <c r="X41" s="5" t="s">
        <v>125</v>
      </c>
      <c r="Y41" s="5" t="s">
        <v>129</v>
      </c>
      <c r="AA41" t="str">
        <f>A41</f>
        <v>Fund</v>
      </c>
      <c r="AB41" s="4" t="str">
        <f t="shared" si="2"/>
        <v>VFIAX</v>
      </c>
      <c r="AC41" s="4" t="str">
        <f t="shared" si="2"/>
        <v>VEXMX</v>
      </c>
      <c r="AD41" s="4" t="str">
        <f t="shared" si="2"/>
        <v>VIMAX</v>
      </c>
      <c r="AE41" s="4" t="str">
        <f t="shared" si="2"/>
        <v>VSMAX</v>
      </c>
      <c r="AF41" s="4" t="str">
        <f t="shared" si="2"/>
        <v>VTRIX</v>
      </c>
      <c r="AG41" s="4" t="str">
        <f t="shared" si="2"/>
        <v>VTIAX</v>
      </c>
      <c r="AH41" s="4" t="str">
        <f t="shared" si="2"/>
        <v>VBTLX</v>
      </c>
      <c r="AI41" s="4" t="str">
        <f>W41</f>
        <v>Total</v>
      </c>
      <c r="AJ41" t="s">
        <v>129</v>
      </c>
    </row>
    <row r="42" spans="1:36" x14ac:dyDescent="0.2">
      <c r="A42" t="s">
        <v>130</v>
      </c>
      <c r="B42" s="2">
        <f>'Non-Rebalanced Portfolio'!B42</f>
        <v>20000</v>
      </c>
      <c r="C42" s="2">
        <f>'Non-Rebalanced Portfolio'!C42</f>
        <v>25000</v>
      </c>
      <c r="F42" s="2">
        <f>'Non-Rebalanced Portfolio'!F42</f>
        <v>15000</v>
      </c>
      <c r="H42" s="2">
        <f>'Non-Rebalanced Portfolio'!H42</f>
        <v>40000</v>
      </c>
      <c r="I42" s="2">
        <f>SUM(B42:H42)</f>
        <v>100000</v>
      </c>
      <c r="O42" s="21" t="s">
        <v>131</v>
      </c>
      <c r="P42" s="22">
        <f>B42/$I42</f>
        <v>0.2</v>
      </c>
      <c r="Q42" s="22">
        <f>C42/$I42</f>
        <v>0.25</v>
      </c>
      <c r="R42" s="56">
        <f>'Non-Rebalanced Portfolio'!R42</f>
        <v>0.15</v>
      </c>
      <c r="S42" s="56">
        <f>'Non-Rebalanced Portfolio'!S42</f>
        <v>0.1</v>
      </c>
      <c r="T42" s="22">
        <f>F42/$I42</f>
        <v>0.15</v>
      </c>
      <c r="U42" s="56">
        <f>'Non-Rebalanced Portfolio'!U42</f>
        <v>0.15</v>
      </c>
      <c r="V42" s="22">
        <f>H42/$I42</f>
        <v>0.4</v>
      </c>
      <c r="W42" s="22">
        <f>I42/$I42</f>
        <v>1</v>
      </c>
      <c r="X42" s="24"/>
      <c r="Z42" s="24"/>
      <c r="AA42" t="str">
        <f>A42</f>
        <v>Stating Balance</v>
      </c>
      <c r="AB42" s="2">
        <f t="shared" ref="AB42:AB53" si="3">B42</f>
        <v>20000</v>
      </c>
      <c r="AC42" s="2">
        <f t="shared" ref="AC42:AC53" si="4">C42</f>
        <v>25000</v>
      </c>
      <c r="AD42" s="2"/>
      <c r="AE42" s="2"/>
      <c r="AF42" s="2">
        <f t="shared" ref="AF42:AF51" si="5">F42</f>
        <v>15000</v>
      </c>
      <c r="AG42" s="2"/>
      <c r="AH42" s="2">
        <f t="shared" ref="AH42:AH56" si="6">H42</f>
        <v>40000</v>
      </c>
      <c r="AI42" s="2">
        <f>SUM(AB42:AH42)</f>
        <v>100000</v>
      </c>
      <c r="AJ42" s="2">
        <f t="shared" ref="AJ42:AJ67" si="7">AI42-I42</f>
        <v>0</v>
      </c>
    </row>
    <row r="43" spans="1:36" x14ac:dyDescent="0.2">
      <c r="A43">
        <f t="shared" ref="A43:A73" si="8">A4</f>
        <v>1988</v>
      </c>
      <c r="B43" s="2">
        <f t="shared" ref="B43" si="9">B42*(1+(B4/100))</f>
        <v>23243.999999999996</v>
      </c>
      <c r="C43" s="2">
        <f t="shared" ref="C43" si="10">C42*(1+(C4/100))</f>
        <v>29936.75</v>
      </c>
      <c r="D43" s="2"/>
      <c r="E43" s="2"/>
      <c r="F43" s="2">
        <f t="shared" ref="F43" si="11">F42*(1+(F4/100))</f>
        <v>17816.7</v>
      </c>
      <c r="G43" s="2"/>
      <c r="H43" s="2">
        <f t="shared" ref="H43" si="12">H42*(1+(H4/100))</f>
        <v>42939.999999999993</v>
      </c>
      <c r="I43" s="2">
        <f>SUM(B43:H43)</f>
        <v>113937.44999999998</v>
      </c>
      <c r="J43" s="2">
        <f>I43-I42</f>
        <v>13937.449999999983</v>
      </c>
      <c r="K43" s="6">
        <f>(J43/I42)</f>
        <v>0.13937449999999982</v>
      </c>
      <c r="L43" s="7">
        <f>K43+1</f>
        <v>1.1393744999999997</v>
      </c>
      <c r="O43">
        <f>A43</f>
        <v>1988</v>
      </c>
      <c r="P43" s="6">
        <f t="shared" ref="P43:U67" si="13">B43/$I43</f>
        <v>0.20400667208191864</v>
      </c>
      <c r="Q43" s="6">
        <f t="shared" si="13"/>
        <v>0.26274723543488121</v>
      </c>
      <c r="R43" s="7"/>
      <c r="S43" s="7"/>
      <c r="T43" s="6">
        <f t="shared" ref="T43:T51" si="14">F43/$I43</f>
        <v>0.15637264130450526</v>
      </c>
      <c r="U43" s="7"/>
      <c r="V43" s="6">
        <f t="shared" ref="V43:V67" si="15">H43/$I43</f>
        <v>0.37687345117869497</v>
      </c>
      <c r="W43" s="6">
        <f>SUM(P43:V43)</f>
        <v>1</v>
      </c>
      <c r="X43" s="7">
        <f>SUM(P43:U43)</f>
        <v>0.62312654882130514</v>
      </c>
      <c r="Y43" s="7">
        <f>W43-(X43+V43)</f>
        <v>0</v>
      </c>
      <c r="Z43" s="24"/>
      <c r="AA43">
        <f t="shared" ref="AA43:AA67" si="16">O43</f>
        <v>1988</v>
      </c>
      <c r="AB43" s="2">
        <f t="shared" si="3"/>
        <v>23243.999999999996</v>
      </c>
      <c r="AC43" s="2">
        <f t="shared" si="4"/>
        <v>29936.75</v>
      </c>
      <c r="AD43" s="2"/>
      <c r="AE43" s="2"/>
      <c r="AF43" s="2">
        <f t="shared" si="5"/>
        <v>17816.7</v>
      </c>
      <c r="AG43" s="2"/>
      <c r="AH43" s="2">
        <f t="shared" si="6"/>
        <v>42939.999999999993</v>
      </c>
      <c r="AI43" s="2">
        <f t="shared" ref="AI43:AI67" si="17">SUM(AB43:AH43)</f>
        <v>113937.44999999998</v>
      </c>
      <c r="AJ43" s="2">
        <f t="shared" si="7"/>
        <v>0</v>
      </c>
    </row>
    <row r="44" spans="1:36" x14ac:dyDescent="0.2">
      <c r="A44">
        <f t="shared" si="8"/>
        <v>1989</v>
      </c>
      <c r="B44" s="2">
        <f t="shared" ref="B44:B53" si="18">AB43*(1+(B5/100))</f>
        <v>30533.318399999996</v>
      </c>
      <c r="C44" s="2">
        <f t="shared" ref="C44:C53" si="19">AC43*(1+(C5/100))</f>
        <v>37150.309280000001</v>
      </c>
      <c r="D44" s="2"/>
      <c r="E44" s="2"/>
      <c r="F44" s="2">
        <f t="shared" ref="F44:F51" si="20">AF43*(1+(F5/100))</f>
        <v>22443.875157000002</v>
      </c>
      <c r="G44" s="2"/>
      <c r="H44" s="2">
        <f t="shared" ref="H44:H67" si="21">AH43*(1+(H5/100))</f>
        <v>48797.015999999996</v>
      </c>
      <c r="I44" s="2">
        <f t="shared" ref="I44:I67" si="22">SUM(B44:H44)</f>
        <v>138924.51883700001</v>
      </c>
      <c r="J44" s="2">
        <f t="shared" ref="J44:J67" si="23">I44-I43</f>
        <v>24987.068837000028</v>
      </c>
      <c r="K44" s="6">
        <f t="shared" ref="K44:K67" si="24">(J44/I43)</f>
        <v>0.21930514362924597</v>
      </c>
      <c r="L44" s="7">
        <f t="shared" ref="L44:L67" si="25">K44+1</f>
        <v>1.2193051436292459</v>
      </c>
      <c r="O44">
        <f t="shared" ref="O44:O67" si="26">A44</f>
        <v>1989</v>
      </c>
      <c r="P44" s="6">
        <f t="shared" si="13"/>
        <v>0.21978351017954365</v>
      </c>
      <c r="Q44" s="6">
        <f t="shared" si="13"/>
        <v>0.26741362569402466</v>
      </c>
      <c r="R44" s="7"/>
      <c r="S44" s="7"/>
      <c r="T44" s="6">
        <f t="shared" si="14"/>
        <v>0.16155445665666388</v>
      </c>
      <c r="U44" s="7"/>
      <c r="V44" s="6">
        <f t="shared" si="15"/>
        <v>0.35124840746976771</v>
      </c>
      <c r="W44" s="6">
        <f t="shared" ref="W44:W67" si="27">SUM(P44:V44)</f>
        <v>0.99999999999999989</v>
      </c>
      <c r="X44" s="7">
        <f t="shared" ref="X44:X67" si="28">SUM(P44:U44)</f>
        <v>0.64875159253023218</v>
      </c>
      <c r="Y44" s="7">
        <f t="shared" ref="Y44:Y67" si="29">W44-(X44+V44)</f>
        <v>0</v>
      </c>
      <c r="Z44" s="24"/>
      <c r="AA44">
        <f t="shared" si="16"/>
        <v>1989</v>
      </c>
      <c r="AB44" s="2">
        <f t="shared" si="3"/>
        <v>30533.318399999996</v>
      </c>
      <c r="AC44" s="2">
        <f t="shared" si="4"/>
        <v>37150.309280000001</v>
      </c>
      <c r="AD44" s="2"/>
      <c r="AE44" s="2"/>
      <c r="AF44" s="2">
        <f t="shared" si="5"/>
        <v>22443.875157000002</v>
      </c>
      <c r="AG44" s="2"/>
      <c r="AH44" s="2">
        <f t="shared" si="6"/>
        <v>48797.015999999996</v>
      </c>
      <c r="AI44" s="2">
        <f t="shared" si="17"/>
        <v>138924.51883700001</v>
      </c>
      <c r="AJ44" s="2">
        <f t="shared" si="7"/>
        <v>0</v>
      </c>
    </row>
    <row r="45" spans="1:36" x14ac:dyDescent="0.2">
      <c r="A45">
        <f t="shared" si="8"/>
        <v>1990</v>
      </c>
      <c r="B45" s="2">
        <f t="shared" si="18"/>
        <v>29519.612229119997</v>
      </c>
      <c r="C45" s="2">
        <f t="shared" si="19"/>
        <v>31932.548341624002</v>
      </c>
      <c r="D45" s="2"/>
      <c r="E45" s="2"/>
      <c r="F45" s="2">
        <f t="shared" si="20"/>
        <v>19692.2560627518</v>
      </c>
      <c r="G45" s="2"/>
      <c r="H45" s="2">
        <f t="shared" si="21"/>
        <v>53017.957883999996</v>
      </c>
      <c r="I45" s="2">
        <f t="shared" si="22"/>
        <v>134162.3745174958</v>
      </c>
      <c r="J45" s="2">
        <f t="shared" si="23"/>
        <v>-4762.1443195042084</v>
      </c>
      <c r="K45" s="6">
        <f t="shared" si="24"/>
        <v>-3.4278645406658759E-2</v>
      </c>
      <c r="L45" s="7">
        <f t="shared" si="25"/>
        <v>0.96572135459334119</v>
      </c>
      <c r="O45">
        <f t="shared" si="26"/>
        <v>1990</v>
      </c>
      <c r="P45" s="6">
        <f t="shared" si="13"/>
        <v>0.22002899348856123</v>
      </c>
      <c r="Q45" s="6">
        <f t="shared" si="13"/>
        <v>0.23801418584358577</v>
      </c>
      <c r="R45" s="7"/>
      <c r="S45" s="7"/>
      <c r="T45" s="6">
        <f t="shared" si="14"/>
        <v>0.1467792749910205</v>
      </c>
      <c r="U45" s="7"/>
      <c r="V45" s="6">
        <f t="shared" si="15"/>
        <v>0.39517754567683244</v>
      </c>
      <c r="W45" s="6">
        <f t="shared" si="27"/>
        <v>1</v>
      </c>
      <c r="X45" s="7">
        <f t="shared" si="28"/>
        <v>0.6048224543231675</v>
      </c>
      <c r="Y45" s="7">
        <f t="shared" si="29"/>
        <v>0</v>
      </c>
      <c r="Z45" s="24"/>
      <c r="AA45">
        <f t="shared" si="16"/>
        <v>1990</v>
      </c>
      <c r="AB45" s="2">
        <f t="shared" si="3"/>
        <v>29519.612229119997</v>
      </c>
      <c r="AC45" s="2">
        <f t="shared" si="4"/>
        <v>31932.548341624002</v>
      </c>
      <c r="AD45" s="2"/>
      <c r="AE45" s="2"/>
      <c r="AF45" s="2">
        <f t="shared" si="5"/>
        <v>19692.2560627518</v>
      </c>
      <c r="AG45" s="2"/>
      <c r="AH45" s="2">
        <f t="shared" si="6"/>
        <v>53017.957883999996</v>
      </c>
      <c r="AI45" s="2">
        <f t="shared" si="17"/>
        <v>134162.3745174958</v>
      </c>
      <c r="AJ45" s="2">
        <f t="shared" si="7"/>
        <v>0</v>
      </c>
    </row>
    <row r="46" spans="1:36" x14ac:dyDescent="0.2">
      <c r="A46">
        <f t="shared" si="8"/>
        <v>1991</v>
      </c>
      <c r="B46" s="2">
        <f t="shared" si="18"/>
        <v>38440.43904476006</v>
      </c>
      <c r="C46" s="2">
        <f t="shared" si="19"/>
        <v>45296.31982259365</v>
      </c>
      <c r="D46" s="2"/>
      <c r="E46" s="2"/>
      <c r="F46" s="2">
        <f t="shared" si="20"/>
        <v>21652.81707635937</v>
      </c>
      <c r="G46" s="2"/>
      <c r="H46" s="2">
        <f t="shared" si="21"/>
        <v>61103.196461309999</v>
      </c>
      <c r="I46" s="2">
        <f t="shared" si="22"/>
        <v>166492.77240502308</v>
      </c>
      <c r="J46" s="2">
        <f t="shared" si="23"/>
        <v>32330.397887527273</v>
      </c>
      <c r="K46" s="6">
        <f t="shared" si="24"/>
        <v>0.24097961894160677</v>
      </c>
      <c r="L46" s="7">
        <f t="shared" si="25"/>
        <v>1.2409796189416067</v>
      </c>
      <c r="O46">
        <f t="shared" si="26"/>
        <v>1991</v>
      </c>
      <c r="P46" s="6">
        <f t="shared" si="13"/>
        <v>0.2308835301946135</v>
      </c>
      <c r="Q46" s="6">
        <f t="shared" si="13"/>
        <v>0.27206177882846683</v>
      </c>
      <c r="R46" s="7"/>
      <c r="S46" s="7"/>
      <c r="T46" s="6">
        <f t="shared" si="14"/>
        <v>0.1300525948579021</v>
      </c>
      <c r="U46" s="7"/>
      <c r="V46" s="6">
        <f t="shared" si="15"/>
        <v>0.36700209611901757</v>
      </c>
      <c r="W46" s="6">
        <f t="shared" si="27"/>
        <v>1</v>
      </c>
      <c r="X46" s="7">
        <f t="shared" si="28"/>
        <v>0.63299790388098243</v>
      </c>
      <c r="Y46" s="7">
        <f t="shared" si="29"/>
        <v>0</v>
      </c>
      <c r="Z46" s="24"/>
      <c r="AA46">
        <f t="shared" si="16"/>
        <v>1991</v>
      </c>
      <c r="AB46" s="2">
        <f t="shared" si="3"/>
        <v>38440.43904476006</v>
      </c>
      <c r="AC46" s="2">
        <f t="shared" si="4"/>
        <v>45296.31982259365</v>
      </c>
      <c r="AD46" s="2"/>
      <c r="AE46" s="2"/>
      <c r="AF46" s="2">
        <f t="shared" si="5"/>
        <v>21652.81707635937</v>
      </c>
      <c r="AG46" s="2"/>
      <c r="AH46" s="2">
        <f t="shared" si="6"/>
        <v>61103.196461309999</v>
      </c>
      <c r="AI46" s="2">
        <f t="shared" si="17"/>
        <v>166492.77240502308</v>
      </c>
      <c r="AJ46" s="2">
        <f t="shared" si="7"/>
        <v>0</v>
      </c>
    </row>
    <row r="47" spans="1:36" x14ac:dyDescent="0.2">
      <c r="A47">
        <f t="shared" si="8"/>
        <v>1992</v>
      </c>
      <c r="B47" s="2">
        <f t="shared" si="18"/>
        <v>41292.719621881261</v>
      </c>
      <c r="C47" s="2">
        <f t="shared" si="19"/>
        <v>50942.959051678175</v>
      </c>
      <c r="D47" s="2"/>
      <c r="E47" s="2"/>
      <c r="F47" s="2">
        <f t="shared" si="20"/>
        <v>19764.474899130069</v>
      </c>
      <c r="G47" s="2"/>
      <c r="H47" s="2">
        <f t="shared" si="21"/>
        <v>65465.964688647524</v>
      </c>
      <c r="I47" s="2">
        <f t="shared" si="22"/>
        <v>177466.11826133705</v>
      </c>
      <c r="J47" s="2">
        <f t="shared" si="23"/>
        <v>10973.345856313972</v>
      </c>
      <c r="K47" s="6">
        <f t="shared" si="24"/>
        <v>6.5908842154537323E-2</v>
      </c>
      <c r="L47" s="7">
        <f t="shared" si="25"/>
        <v>1.0659088421545373</v>
      </c>
      <c r="O47">
        <f t="shared" si="26"/>
        <v>1992</v>
      </c>
      <c r="P47" s="6">
        <f t="shared" si="13"/>
        <v>0.23267945468370194</v>
      </c>
      <c r="Q47" s="6">
        <f t="shared" si="13"/>
        <v>0.28705738059058378</v>
      </c>
      <c r="R47" s="7"/>
      <c r="S47" s="7"/>
      <c r="T47" s="6">
        <f t="shared" si="14"/>
        <v>0.1113704130837237</v>
      </c>
      <c r="U47" s="7"/>
      <c r="V47" s="6">
        <f t="shared" si="15"/>
        <v>0.36889275164199054</v>
      </c>
      <c r="W47" s="6">
        <f t="shared" si="27"/>
        <v>0.99999999999999989</v>
      </c>
      <c r="X47" s="7">
        <f t="shared" si="28"/>
        <v>0.63110724835800935</v>
      </c>
      <c r="Y47" s="7">
        <f t="shared" si="29"/>
        <v>0</v>
      </c>
      <c r="Z47" s="24"/>
      <c r="AA47">
        <f t="shared" si="16"/>
        <v>1992</v>
      </c>
      <c r="AB47" s="2">
        <f t="shared" si="3"/>
        <v>41292.719621881261</v>
      </c>
      <c r="AC47" s="2">
        <f t="shared" si="4"/>
        <v>50942.959051678175</v>
      </c>
      <c r="AD47" s="2"/>
      <c r="AE47" s="2"/>
      <c r="AF47" s="2">
        <f t="shared" si="5"/>
        <v>19764.474899130069</v>
      </c>
      <c r="AG47" s="2"/>
      <c r="AH47" s="2">
        <f t="shared" si="6"/>
        <v>65465.964688647524</v>
      </c>
      <c r="AI47" s="2">
        <f t="shared" si="17"/>
        <v>177466.11826133705</v>
      </c>
      <c r="AJ47" s="2">
        <f t="shared" si="7"/>
        <v>0</v>
      </c>
    </row>
    <row r="48" spans="1:36" x14ac:dyDescent="0.2">
      <c r="A48">
        <f t="shared" si="8"/>
        <v>1993</v>
      </c>
      <c r="B48" s="2">
        <f t="shared" si="18"/>
        <v>45376.569592485313</v>
      </c>
      <c r="C48" s="2">
        <f t="shared" si="19"/>
        <v>58324.593818266345</v>
      </c>
      <c r="D48" s="2"/>
      <c r="E48" s="2"/>
      <c r="F48" s="2">
        <f t="shared" si="20"/>
        <v>25791.453874870793</v>
      </c>
      <c r="G48" s="2"/>
      <c r="H48" s="2">
        <f t="shared" si="21"/>
        <v>71803.070070508606</v>
      </c>
      <c r="I48" s="2">
        <f t="shared" si="22"/>
        <v>201295.68735613106</v>
      </c>
      <c r="J48" s="2">
        <f t="shared" si="23"/>
        <v>23829.569094794017</v>
      </c>
      <c r="K48" s="6">
        <f t="shared" si="24"/>
        <v>0.13427672464048904</v>
      </c>
      <c r="L48" s="7">
        <f t="shared" si="25"/>
        <v>1.134276724640489</v>
      </c>
      <c r="O48">
        <f t="shared" si="26"/>
        <v>1993</v>
      </c>
      <c r="P48" s="6">
        <f t="shared" si="13"/>
        <v>0.22542246278831285</v>
      </c>
      <c r="Q48" s="6">
        <f t="shared" si="13"/>
        <v>0.28974586879786868</v>
      </c>
      <c r="R48" s="7"/>
      <c r="S48" s="7"/>
      <c r="T48" s="6">
        <f t="shared" si="14"/>
        <v>0.12812720537445352</v>
      </c>
      <c r="U48" s="7"/>
      <c r="V48" s="6">
        <f t="shared" si="15"/>
        <v>0.35670446303936493</v>
      </c>
      <c r="W48" s="6">
        <f t="shared" si="27"/>
        <v>1</v>
      </c>
      <c r="X48" s="7">
        <f t="shared" si="28"/>
        <v>0.64329553696063502</v>
      </c>
      <c r="Y48" s="7">
        <f t="shared" si="29"/>
        <v>0</v>
      </c>
      <c r="Z48" s="24"/>
      <c r="AA48">
        <f t="shared" si="16"/>
        <v>1993</v>
      </c>
      <c r="AB48" s="2">
        <f t="shared" si="3"/>
        <v>45376.569592485313</v>
      </c>
      <c r="AC48" s="2">
        <f t="shared" si="4"/>
        <v>58324.593818266345</v>
      </c>
      <c r="AD48" s="2"/>
      <c r="AE48" s="2"/>
      <c r="AF48" s="2">
        <f t="shared" si="5"/>
        <v>25791.453874870793</v>
      </c>
      <c r="AG48" s="2"/>
      <c r="AH48" s="2">
        <f t="shared" si="6"/>
        <v>71803.070070508606</v>
      </c>
      <c r="AI48" s="2">
        <f t="shared" si="17"/>
        <v>201295.68735613106</v>
      </c>
      <c r="AJ48" s="2">
        <f t="shared" si="7"/>
        <v>0</v>
      </c>
    </row>
    <row r="49" spans="1:36" x14ac:dyDescent="0.2">
      <c r="A49">
        <f t="shared" si="8"/>
        <v>1994</v>
      </c>
      <c r="B49" s="2">
        <f t="shared" si="18"/>
        <v>45912.013113676643</v>
      </c>
      <c r="C49" s="2">
        <f t="shared" si="19"/>
        <v>57295.747983312125</v>
      </c>
      <c r="D49" s="2"/>
      <c r="E49" s="2"/>
      <c r="F49" s="2">
        <f t="shared" si="20"/>
        <v>27146.794775995255</v>
      </c>
      <c r="G49" s="2"/>
      <c r="H49" s="2">
        <f t="shared" si="21"/>
        <v>69893.10840663308</v>
      </c>
      <c r="I49" s="2">
        <f t="shared" si="22"/>
        <v>200247.66427961711</v>
      </c>
      <c r="J49" s="2">
        <f t="shared" si="23"/>
        <v>-1048.0230765139568</v>
      </c>
      <c r="K49" s="6">
        <f t="shared" si="24"/>
        <v>-5.2063861391118673E-3</v>
      </c>
      <c r="L49" s="7">
        <f t="shared" si="25"/>
        <v>0.99479361386088816</v>
      </c>
      <c r="O49">
        <f t="shared" si="26"/>
        <v>1994</v>
      </c>
      <c r="P49" s="6">
        <f t="shared" si="13"/>
        <v>0.22927614800823398</v>
      </c>
      <c r="Q49" s="6">
        <f t="shared" si="13"/>
        <v>0.28612442591743215</v>
      </c>
      <c r="R49" s="7"/>
      <c r="S49" s="7"/>
      <c r="T49" s="6">
        <f t="shared" si="14"/>
        <v>0.1355660994781375</v>
      </c>
      <c r="U49" s="7"/>
      <c r="V49" s="6">
        <f t="shared" si="15"/>
        <v>0.34903332659619635</v>
      </c>
      <c r="W49" s="6">
        <f t="shared" si="27"/>
        <v>1</v>
      </c>
      <c r="X49" s="7">
        <f t="shared" si="28"/>
        <v>0.65096667340380365</v>
      </c>
      <c r="Y49" s="7">
        <f t="shared" si="29"/>
        <v>0</v>
      </c>
      <c r="Z49" s="24"/>
      <c r="AA49">
        <f t="shared" si="16"/>
        <v>1994</v>
      </c>
      <c r="AB49" s="2">
        <f t="shared" si="3"/>
        <v>45912.013113676643</v>
      </c>
      <c r="AC49" s="2">
        <f t="shared" si="4"/>
        <v>57295.747983312125</v>
      </c>
      <c r="AD49" s="2"/>
      <c r="AE49" s="2"/>
      <c r="AF49" s="2">
        <f t="shared" si="5"/>
        <v>27146.794775995255</v>
      </c>
      <c r="AG49" s="2"/>
      <c r="AH49" s="2">
        <f t="shared" si="6"/>
        <v>69893.10840663308</v>
      </c>
      <c r="AI49" s="2">
        <f t="shared" si="17"/>
        <v>200247.66427961711</v>
      </c>
      <c r="AJ49" s="2">
        <f t="shared" si="7"/>
        <v>0</v>
      </c>
    </row>
    <row r="50" spans="1:36" x14ac:dyDescent="0.2">
      <c r="A50">
        <f t="shared" si="8"/>
        <v>1995</v>
      </c>
      <c r="B50" s="2">
        <f t="shared" si="18"/>
        <v>63106.062024748549</v>
      </c>
      <c r="C50" s="2">
        <f t="shared" si="19"/>
        <v>76659.991929232114</v>
      </c>
      <c r="D50" s="2"/>
      <c r="E50" s="2"/>
      <c r="F50" s="2">
        <f t="shared" si="20"/>
        <v>29765.374600087758</v>
      </c>
      <c r="G50" s="2"/>
      <c r="H50" s="2">
        <f t="shared" si="21"/>
        <v>82599.675514958974</v>
      </c>
      <c r="I50" s="2">
        <f t="shared" si="22"/>
        <v>252131.10406902741</v>
      </c>
      <c r="J50" s="2">
        <f t="shared" si="23"/>
        <v>51883.439789410302</v>
      </c>
      <c r="K50" s="6">
        <f t="shared" si="24"/>
        <v>0.25909635438724782</v>
      </c>
      <c r="L50" s="7">
        <f t="shared" si="25"/>
        <v>1.2590963543872478</v>
      </c>
      <c r="O50">
        <f t="shared" si="26"/>
        <v>1995</v>
      </c>
      <c r="P50" s="6">
        <f t="shared" si="13"/>
        <v>0.25029066626968655</v>
      </c>
      <c r="Q50" s="6">
        <f t="shared" si="13"/>
        <v>0.30404813484751353</v>
      </c>
      <c r="R50" s="7"/>
      <c r="S50" s="7"/>
      <c r="T50" s="6">
        <f t="shared" si="14"/>
        <v>0.1180551471822323</v>
      </c>
      <c r="U50" s="7"/>
      <c r="V50" s="6">
        <f t="shared" si="15"/>
        <v>0.32760605170056756</v>
      </c>
      <c r="W50" s="6">
        <f t="shared" si="27"/>
        <v>1</v>
      </c>
      <c r="X50" s="7">
        <f t="shared" si="28"/>
        <v>0.67239394829943244</v>
      </c>
      <c r="Y50" s="7">
        <f t="shared" si="29"/>
        <v>0</v>
      </c>
      <c r="Z50" s="24"/>
      <c r="AA50">
        <f t="shared" si="16"/>
        <v>1995</v>
      </c>
      <c r="AB50" s="2">
        <f t="shared" si="3"/>
        <v>63106.062024748549</v>
      </c>
      <c r="AC50" s="2">
        <f t="shared" si="4"/>
        <v>76659.991929232114</v>
      </c>
      <c r="AD50" s="2"/>
      <c r="AE50" s="2"/>
      <c r="AF50" s="2">
        <f t="shared" si="5"/>
        <v>29765.374600087758</v>
      </c>
      <c r="AG50" s="2"/>
      <c r="AH50" s="2">
        <f t="shared" si="6"/>
        <v>82599.675514958974</v>
      </c>
      <c r="AI50" s="2">
        <f t="shared" si="17"/>
        <v>252131.10406902741</v>
      </c>
      <c r="AJ50" s="2">
        <f t="shared" si="7"/>
        <v>0</v>
      </c>
    </row>
    <row r="51" spans="1:36" x14ac:dyDescent="0.2">
      <c r="A51">
        <f t="shared" si="8"/>
        <v>1996</v>
      </c>
      <c r="B51" s="2">
        <f t="shared" si="18"/>
        <v>77544.729016011028</v>
      </c>
      <c r="C51" s="2">
        <f t="shared" si="19"/>
        <v>90188.180704983693</v>
      </c>
      <c r="D51" s="2"/>
      <c r="E51" s="2"/>
      <c r="F51" s="2">
        <f t="shared" si="20"/>
        <v>32807.098230470729</v>
      </c>
      <c r="G51" s="2"/>
      <c r="H51" s="2">
        <f t="shared" si="21"/>
        <v>85556.743898394503</v>
      </c>
      <c r="I51" s="2">
        <f t="shared" si="22"/>
        <v>286096.75184985995</v>
      </c>
      <c r="J51" s="2">
        <f t="shared" si="23"/>
        <v>33965.647780832544</v>
      </c>
      <c r="K51" s="6">
        <f t="shared" si="24"/>
        <v>0.13471423094047758</v>
      </c>
      <c r="L51" s="7">
        <f t="shared" si="25"/>
        <v>1.1347142309404776</v>
      </c>
      <c r="O51">
        <f t="shared" si="26"/>
        <v>1996</v>
      </c>
      <c r="P51" s="6">
        <f t="shared" si="13"/>
        <v>0.27104372389626269</v>
      </c>
      <c r="Q51" s="6">
        <f t="shared" si="13"/>
        <v>0.31523664677015745</v>
      </c>
      <c r="R51" s="7"/>
      <c r="S51" s="7"/>
      <c r="T51" s="6">
        <f t="shared" si="14"/>
        <v>0.11467134114017306</v>
      </c>
      <c r="U51" s="6"/>
      <c r="V51" s="6">
        <f t="shared" si="15"/>
        <v>0.29904828819340679</v>
      </c>
      <c r="W51" s="6">
        <f t="shared" si="27"/>
        <v>1</v>
      </c>
      <c r="X51" s="7">
        <f t="shared" si="28"/>
        <v>0.70095171180659321</v>
      </c>
      <c r="Y51" s="7">
        <f t="shared" si="29"/>
        <v>0</v>
      </c>
      <c r="Z51" s="24"/>
      <c r="AA51">
        <f t="shared" si="16"/>
        <v>1996</v>
      </c>
      <c r="AB51" s="2">
        <f t="shared" si="3"/>
        <v>77544.729016011028</v>
      </c>
      <c r="AC51" s="2">
        <f t="shared" si="4"/>
        <v>90188.180704983693</v>
      </c>
      <c r="AD51" s="2"/>
      <c r="AE51" s="2"/>
      <c r="AF51" s="2">
        <f t="shared" si="5"/>
        <v>32807.098230470729</v>
      </c>
      <c r="AG51" s="2"/>
      <c r="AH51" s="2">
        <f t="shared" si="6"/>
        <v>85556.743898394503</v>
      </c>
      <c r="AI51" s="2">
        <f t="shared" si="17"/>
        <v>286096.75184985995</v>
      </c>
      <c r="AJ51" s="2">
        <f t="shared" si="7"/>
        <v>0</v>
      </c>
    </row>
    <row r="52" spans="1:36" x14ac:dyDescent="0.2">
      <c r="A52">
        <f t="shared" si="8"/>
        <v>1997</v>
      </c>
      <c r="B52" s="2">
        <f t="shared" si="18"/>
        <v>103281.82457642509</v>
      </c>
      <c r="C52" s="2">
        <f t="shared" si="19"/>
        <v>114256.70048972269</v>
      </c>
      <c r="D52" s="2"/>
      <c r="E52" s="2"/>
      <c r="F52" s="2"/>
      <c r="G52" s="2">
        <f>AF50*(1+(G13/100))</f>
        <v>29534.692946937077</v>
      </c>
      <c r="H52" s="2">
        <f t="shared" si="21"/>
        <v>93633.300522402948</v>
      </c>
      <c r="I52" s="2">
        <f t="shared" si="22"/>
        <v>340706.51853548782</v>
      </c>
      <c r="J52" s="2">
        <f t="shared" si="23"/>
        <v>54609.766685627867</v>
      </c>
      <c r="K52" s="6">
        <f t="shared" si="24"/>
        <v>0.19087866720796046</v>
      </c>
      <c r="L52" s="7">
        <f t="shared" si="25"/>
        <v>1.1908786672079605</v>
      </c>
      <c r="O52">
        <f t="shared" si="26"/>
        <v>1997</v>
      </c>
      <c r="P52" s="6">
        <f t="shared" si="13"/>
        <v>0.30314014836105141</v>
      </c>
      <c r="Q52" s="6">
        <f t="shared" si="13"/>
        <v>0.33535225853866885</v>
      </c>
      <c r="R52" s="7"/>
      <c r="S52" s="7"/>
      <c r="T52" s="6"/>
      <c r="U52" s="6">
        <f t="shared" si="13"/>
        <v>8.6686609560306244E-2</v>
      </c>
      <c r="V52" s="6">
        <f t="shared" si="15"/>
        <v>0.27482098353997342</v>
      </c>
      <c r="W52" s="6">
        <f t="shared" si="27"/>
        <v>0.99999999999999989</v>
      </c>
      <c r="X52" s="7">
        <f t="shared" si="28"/>
        <v>0.72517901646002647</v>
      </c>
      <c r="Y52" s="7">
        <f t="shared" si="29"/>
        <v>0</v>
      </c>
      <c r="Z52" s="24"/>
      <c r="AA52">
        <f t="shared" si="16"/>
        <v>1997</v>
      </c>
      <c r="AB52" s="2">
        <f t="shared" si="3"/>
        <v>103281.82457642509</v>
      </c>
      <c r="AC52" s="2">
        <f t="shared" si="4"/>
        <v>114256.70048972269</v>
      </c>
      <c r="AD52" s="2"/>
      <c r="AE52" s="2"/>
      <c r="AF52" s="2"/>
      <c r="AG52" s="2">
        <f>G52</f>
        <v>29534.692946937077</v>
      </c>
      <c r="AH52" s="2">
        <f t="shared" si="6"/>
        <v>93633.300522402948</v>
      </c>
      <c r="AI52" s="2">
        <f t="shared" si="17"/>
        <v>340706.51853548782</v>
      </c>
      <c r="AJ52" s="2">
        <f t="shared" si="7"/>
        <v>0</v>
      </c>
    </row>
    <row r="53" spans="1:36" x14ac:dyDescent="0.2">
      <c r="A53">
        <f t="shared" si="8"/>
        <v>1998</v>
      </c>
      <c r="B53" s="2">
        <f t="shared" si="18"/>
        <v>132882.39550002851</v>
      </c>
      <c r="C53" s="2">
        <f t="shared" si="19"/>
        <v>123800.56268162924</v>
      </c>
      <c r="D53" s="2"/>
      <c r="E53" s="2"/>
      <c r="F53" s="2"/>
      <c r="G53" s="2">
        <f t="shared" ref="G53:G67" si="30">AG52*(1+(G14/100))</f>
        <v>34142.991087447663</v>
      </c>
      <c r="H53" s="2">
        <f t="shared" si="21"/>
        <v>101667.03770722513</v>
      </c>
      <c r="I53" s="2">
        <f t="shared" si="22"/>
        <v>392492.98697633052</v>
      </c>
      <c r="J53" s="2">
        <f t="shared" si="23"/>
        <v>51786.468440842698</v>
      </c>
      <c r="K53" s="6">
        <f t="shared" si="24"/>
        <v>0.15199729275343654</v>
      </c>
      <c r="L53" s="7">
        <f t="shared" si="25"/>
        <v>1.1519972927534365</v>
      </c>
      <c r="O53">
        <f t="shared" si="26"/>
        <v>1998</v>
      </c>
      <c r="P53" s="6">
        <f t="shared" si="13"/>
        <v>0.33855992313065725</v>
      </c>
      <c r="Q53" s="6">
        <f t="shared" si="13"/>
        <v>0.31542108213285119</v>
      </c>
      <c r="R53" s="7"/>
      <c r="S53" s="7"/>
      <c r="T53" s="7"/>
      <c r="U53" s="6">
        <f t="shared" si="13"/>
        <v>8.6990066626353946E-2</v>
      </c>
      <c r="V53" s="6">
        <f t="shared" si="15"/>
        <v>0.25902892811013767</v>
      </c>
      <c r="W53" s="6">
        <f t="shared" si="27"/>
        <v>1</v>
      </c>
      <c r="X53" s="7">
        <f t="shared" si="28"/>
        <v>0.74097107188986233</v>
      </c>
      <c r="Y53" s="7">
        <f t="shared" si="29"/>
        <v>0</v>
      </c>
      <c r="Z53" s="24"/>
      <c r="AA53">
        <f t="shared" si="16"/>
        <v>1998</v>
      </c>
      <c r="AB53" s="2">
        <f t="shared" si="3"/>
        <v>132882.39550002851</v>
      </c>
      <c r="AC53" s="2">
        <f t="shared" si="4"/>
        <v>123800.56268162924</v>
      </c>
      <c r="AD53" s="2"/>
      <c r="AE53" s="2"/>
      <c r="AF53" s="2"/>
      <c r="AG53" s="2">
        <f>G53</f>
        <v>34142.991087447663</v>
      </c>
      <c r="AH53" s="2">
        <f t="shared" si="6"/>
        <v>101667.03770722513</v>
      </c>
      <c r="AI53" s="2">
        <f t="shared" si="17"/>
        <v>392492.98697633052</v>
      </c>
      <c r="AJ53" s="2">
        <f t="shared" si="7"/>
        <v>0</v>
      </c>
    </row>
    <row r="54" spans="1:36" x14ac:dyDescent="0.2">
      <c r="A54">
        <f t="shared" si="8"/>
        <v>1999</v>
      </c>
      <c r="B54" s="2">
        <f t="shared" ref="B54:B73" si="31">AB53*(1+(B15/100))</f>
        <v>160880.71623188452</v>
      </c>
      <c r="C54" s="2"/>
      <c r="D54" s="2">
        <f>($AC52*0.6)*(1+(D15/100))</f>
        <v>79055.810662645978</v>
      </c>
      <c r="E54" s="2">
        <f>($AC52*0.4)*(1+(E15/100))</f>
        <v>56275.081205604103</v>
      </c>
      <c r="F54" s="2"/>
      <c r="G54" s="2">
        <f t="shared" si="30"/>
        <v>44358.232590901134</v>
      </c>
      <c r="H54" s="2">
        <f t="shared" si="21"/>
        <v>100894.36822065021</v>
      </c>
      <c r="I54" s="2">
        <f t="shared" si="22"/>
        <v>441464.20891168597</v>
      </c>
      <c r="J54" s="2">
        <f t="shared" si="23"/>
        <v>48971.221935355454</v>
      </c>
      <c r="K54" s="6">
        <f t="shared" si="24"/>
        <v>0.1247696737529445</v>
      </c>
      <c r="L54" s="7">
        <f t="shared" si="25"/>
        <v>1.1247696737529445</v>
      </c>
      <c r="O54">
        <f t="shared" si="26"/>
        <v>1999</v>
      </c>
      <c r="P54" s="6">
        <f t="shared" si="13"/>
        <v>0.36442527612486109</v>
      </c>
      <c r="Q54" s="7"/>
      <c r="R54" s="6">
        <f t="shared" si="13"/>
        <v>0.17907637599328224</v>
      </c>
      <c r="S54" s="6">
        <f t="shared" si="13"/>
        <v>0.12747371150276379</v>
      </c>
      <c r="T54" s="7"/>
      <c r="U54" s="6">
        <f t="shared" si="13"/>
        <v>0.10047979359471677</v>
      </c>
      <c r="V54" s="6">
        <f t="shared" si="15"/>
        <v>0.22854484278437603</v>
      </c>
      <c r="W54" s="6">
        <f t="shared" si="27"/>
        <v>0.99999999999999989</v>
      </c>
      <c r="X54" s="7">
        <f t="shared" si="28"/>
        <v>0.77145515721562385</v>
      </c>
      <c r="Y54" s="7">
        <f t="shared" si="29"/>
        <v>0</v>
      </c>
      <c r="Z54" s="24"/>
      <c r="AA54">
        <f t="shared" si="16"/>
        <v>1999</v>
      </c>
      <c r="AB54" s="2">
        <f>B54</f>
        <v>160880.71623188452</v>
      </c>
      <c r="AC54" s="2"/>
      <c r="AD54" s="2">
        <f t="shared" ref="AD54:AE56" si="32">D54</f>
        <v>79055.810662645978</v>
      </c>
      <c r="AE54" s="2">
        <f t="shared" si="32"/>
        <v>56275.081205604103</v>
      </c>
      <c r="AF54" s="2"/>
      <c r="AG54" s="2">
        <f>G54</f>
        <v>44358.232590901134</v>
      </c>
      <c r="AH54" s="2">
        <f t="shared" si="6"/>
        <v>100894.36822065021</v>
      </c>
      <c r="AI54" s="2">
        <f t="shared" si="17"/>
        <v>441464.20891168597</v>
      </c>
      <c r="AJ54" s="2">
        <f t="shared" si="7"/>
        <v>0</v>
      </c>
    </row>
    <row r="55" spans="1:36" x14ac:dyDescent="0.2">
      <c r="A55">
        <f t="shared" si="8"/>
        <v>2000</v>
      </c>
      <c r="B55" s="2">
        <f t="shared" si="31"/>
        <v>146304.92334127577</v>
      </c>
      <c r="C55" s="2"/>
      <c r="D55" s="2">
        <f t="shared" ref="D55:D67" si="33">AD54*(1+(D16/100))</f>
        <v>93363.331276371639</v>
      </c>
      <c r="E55" s="2">
        <f t="shared" ref="E55:E67" si="34">AE54*(1+(E16/100))</f>
        <v>54775.350291474759</v>
      </c>
      <c r="F55" s="2"/>
      <c r="G55" s="2">
        <f t="shared" si="30"/>
        <v>37432.13815415783</v>
      </c>
      <c r="H55" s="2">
        <f t="shared" si="21"/>
        <v>112386.23676098228</v>
      </c>
      <c r="I55" s="2">
        <f t="shared" si="22"/>
        <v>444261.97982426232</v>
      </c>
      <c r="J55" s="2">
        <f t="shared" si="23"/>
        <v>2797.7709125763504</v>
      </c>
      <c r="K55" s="6">
        <f t="shared" si="24"/>
        <v>6.3374807200645318E-3</v>
      </c>
      <c r="L55" s="7">
        <f t="shared" si="25"/>
        <v>1.0063374807200645</v>
      </c>
      <c r="O55">
        <f t="shared" si="26"/>
        <v>2000</v>
      </c>
      <c r="P55" s="6">
        <f t="shared" si="13"/>
        <v>0.32932127885251383</v>
      </c>
      <c r="Q55" s="7"/>
      <c r="R55" s="6">
        <f t="shared" si="13"/>
        <v>0.21015377303568397</v>
      </c>
      <c r="S55" s="6">
        <f t="shared" si="13"/>
        <v>0.12329515641456053</v>
      </c>
      <c r="T55" s="7"/>
      <c r="U55" s="6">
        <f t="shared" si="13"/>
        <v>8.4256902130056099E-2</v>
      </c>
      <c r="V55" s="6">
        <f t="shared" si="15"/>
        <v>0.25297288956718544</v>
      </c>
      <c r="W55" s="6">
        <f t="shared" si="27"/>
        <v>0.99999999999999989</v>
      </c>
      <c r="X55" s="7">
        <f t="shared" si="28"/>
        <v>0.74702711043281445</v>
      </c>
      <c r="Y55" s="7">
        <f t="shared" si="29"/>
        <v>0</v>
      </c>
      <c r="Z55" s="24"/>
      <c r="AA55">
        <f t="shared" si="16"/>
        <v>2000</v>
      </c>
      <c r="AB55" s="2">
        <f>B55</f>
        <v>146304.92334127577</v>
      </c>
      <c r="AC55" s="2"/>
      <c r="AD55" s="2">
        <f t="shared" si="32"/>
        <v>93363.331276371639</v>
      </c>
      <c r="AE55" s="2">
        <f t="shared" si="32"/>
        <v>54775.350291474759</v>
      </c>
      <c r="AF55" s="2"/>
      <c r="AG55" s="2">
        <f>G55</f>
        <v>37432.13815415783</v>
      </c>
      <c r="AH55" s="2">
        <f t="shared" si="6"/>
        <v>112386.23676098228</v>
      </c>
      <c r="AI55" s="2">
        <f t="shared" si="17"/>
        <v>444261.97982426232</v>
      </c>
      <c r="AJ55" s="2">
        <f t="shared" si="7"/>
        <v>0</v>
      </c>
    </row>
    <row r="56" spans="1:36" x14ac:dyDescent="0.2">
      <c r="A56">
        <f t="shared" si="8"/>
        <v>2001</v>
      </c>
      <c r="B56" s="2">
        <f t="shared" si="31"/>
        <v>128719.07155565443</v>
      </c>
      <c r="C56" s="2"/>
      <c r="D56" s="2">
        <f t="shared" si="33"/>
        <v>92897.448253302544</v>
      </c>
      <c r="E56" s="2">
        <f t="shared" si="34"/>
        <v>56473.386150510472</v>
      </c>
      <c r="F56" s="2"/>
      <c r="G56" s="2">
        <f t="shared" si="30"/>
        <v>29888.439351950405</v>
      </c>
      <c r="H56" s="2">
        <f t="shared" si="21"/>
        <v>121860.3965199331</v>
      </c>
      <c r="I56" s="2">
        <f t="shared" si="22"/>
        <v>429838.74183135096</v>
      </c>
      <c r="J56" s="2">
        <f t="shared" si="23"/>
        <v>-14423.237992911367</v>
      </c>
      <c r="K56" s="6">
        <f t="shared" si="24"/>
        <v>-3.246561409242537E-2</v>
      </c>
      <c r="L56" s="7">
        <f t="shared" si="25"/>
        <v>0.96753438590757468</v>
      </c>
      <c r="O56">
        <f t="shared" si="26"/>
        <v>2001</v>
      </c>
      <c r="P56" s="6">
        <f t="shared" si="13"/>
        <v>0.2994589808430016</v>
      </c>
      <c r="Q56" s="7"/>
      <c r="R56" s="6">
        <f t="shared" si="13"/>
        <v>0.21612162704903704</v>
      </c>
      <c r="S56" s="6">
        <f t="shared" si="13"/>
        <v>0.13138272718253033</v>
      </c>
      <c r="T56" s="7"/>
      <c r="U56" s="6">
        <f t="shared" si="13"/>
        <v>6.9534075091996383E-2</v>
      </c>
      <c r="V56" s="6">
        <f t="shared" si="15"/>
        <v>0.28350258983343463</v>
      </c>
      <c r="W56" s="6">
        <f t="shared" si="27"/>
        <v>1</v>
      </c>
      <c r="X56" s="7">
        <f t="shared" si="28"/>
        <v>0.71649741016656532</v>
      </c>
      <c r="Y56" s="7">
        <f t="shared" si="29"/>
        <v>0</v>
      </c>
      <c r="Z56" s="24"/>
      <c r="AA56">
        <f t="shared" si="16"/>
        <v>2001</v>
      </c>
      <c r="AB56" s="2">
        <f>B56</f>
        <v>128719.07155565443</v>
      </c>
      <c r="AC56" s="2"/>
      <c r="AD56" s="2">
        <f t="shared" si="32"/>
        <v>92897.448253302544</v>
      </c>
      <c r="AE56" s="2">
        <f t="shared" si="32"/>
        <v>56473.386150510472</v>
      </c>
      <c r="AF56" s="2"/>
      <c r="AG56" s="2">
        <f>G56</f>
        <v>29888.439351950405</v>
      </c>
      <c r="AH56" s="2">
        <f t="shared" si="6"/>
        <v>121860.3965199331</v>
      </c>
      <c r="AI56" s="2">
        <f t="shared" si="17"/>
        <v>429838.74183135096</v>
      </c>
      <c r="AJ56" s="2">
        <f t="shared" si="7"/>
        <v>0</v>
      </c>
    </row>
    <row r="57" spans="1:36" x14ac:dyDescent="0.2">
      <c r="A57">
        <f t="shared" si="8"/>
        <v>2002</v>
      </c>
      <c r="B57" s="2">
        <f t="shared" si="31"/>
        <v>100207.79720607697</v>
      </c>
      <c r="C57" s="2"/>
      <c r="D57" s="2">
        <f t="shared" si="33"/>
        <v>79326.989012460108</v>
      </c>
      <c r="E57" s="2">
        <f t="shared" si="34"/>
        <v>45166.284775455271</v>
      </c>
      <c r="F57" s="2"/>
      <c r="G57" s="2">
        <f t="shared" si="30"/>
        <v>25380.366044495724</v>
      </c>
      <c r="H57" s="2">
        <f t="shared" si="21"/>
        <v>131926.06527247958</v>
      </c>
      <c r="I57" s="2">
        <f t="shared" si="22"/>
        <v>382007.50231096765</v>
      </c>
      <c r="J57" s="2">
        <f t="shared" si="23"/>
        <v>-47831.2395203833</v>
      </c>
      <c r="K57" s="6">
        <f t="shared" si="24"/>
        <v>-0.11127717179841851</v>
      </c>
      <c r="L57" s="7">
        <f t="shared" si="25"/>
        <v>0.88872282820158155</v>
      </c>
      <c r="O57">
        <f t="shared" si="26"/>
        <v>2002</v>
      </c>
      <c r="P57" s="6">
        <f t="shared" si="13"/>
        <v>0.26231892462809347</v>
      </c>
      <c r="Q57" s="7"/>
      <c r="R57" s="6">
        <f t="shared" si="13"/>
        <v>0.20765819658663437</v>
      </c>
      <c r="S57" s="6">
        <f t="shared" si="13"/>
        <v>0.11823402551578245</v>
      </c>
      <c r="T57" s="7"/>
      <c r="U57" s="6">
        <f t="shared" si="13"/>
        <v>6.643944396629993E-2</v>
      </c>
      <c r="V57" s="6">
        <f t="shared" si="15"/>
        <v>0.34534940930318975</v>
      </c>
      <c r="W57" s="6">
        <f t="shared" si="27"/>
        <v>1</v>
      </c>
      <c r="X57" s="7">
        <f t="shared" si="28"/>
        <v>0.65465059069681031</v>
      </c>
      <c r="Y57" s="7">
        <f t="shared" si="29"/>
        <v>0</v>
      </c>
      <c r="Z57" s="24"/>
      <c r="AA57">
        <f t="shared" si="16"/>
        <v>2002</v>
      </c>
      <c r="AB57" s="40">
        <v>0</v>
      </c>
      <c r="AC57" s="40"/>
      <c r="AD57" s="40">
        <v>0</v>
      </c>
      <c r="AE57" s="40">
        <v>0</v>
      </c>
      <c r="AF57" s="40"/>
      <c r="AG57" s="40">
        <v>0</v>
      </c>
      <c r="AH57" s="40">
        <f>I57</f>
        <v>382007.50231096765</v>
      </c>
      <c r="AI57" s="2">
        <f t="shared" si="17"/>
        <v>382007.50231096765</v>
      </c>
      <c r="AJ57" s="2">
        <f t="shared" si="7"/>
        <v>0</v>
      </c>
    </row>
    <row r="58" spans="1:36" x14ac:dyDescent="0.2">
      <c r="A58">
        <f t="shared" si="8"/>
        <v>2003</v>
      </c>
      <c r="B58" s="2">
        <f t="shared" si="31"/>
        <v>0</v>
      </c>
      <c r="C58" s="2"/>
      <c r="D58" s="2">
        <f t="shared" si="33"/>
        <v>0</v>
      </c>
      <c r="E58" s="2">
        <f t="shared" si="34"/>
        <v>0</v>
      </c>
      <c r="F58" s="2"/>
      <c r="G58" s="2">
        <f t="shared" si="30"/>
        <v>0</v>
      </c>
      <c r="H58" s="2">
        <f t="shared" si="21"/>
        <v>397173.20015271311</v>
      </c>
      <c r="I58" s="2">
        <f t="shared" si="22"/>
        <v>397173.20015271311</v>
      </c>
      <c r="J58" s="2">
        <f t="shared" si="23"/>
        <v>15165.697841745452</v>
      </c>
      <c r="K58" s="6">
        <f t="shared" si="24"/>
        <v>3.9700000000000096E-2</v>
      </c>
      <c r="L58" s="7">
        <f t="shared" si="25"/>
        <v>1.0397000000000001</v>
      </c>
      <c r="O58">
        <f t="shared" si="26"/>
        <v>2003</v>
      </c>
      <c r="P58" s="6">
        <f t="shared" si="13"/>
        <v>0</v>
      </c>
      <c r="Q58" s="7"/>
      <c r="R58" s="6">
        <f t="shared" si="13"/>
        <v>0</v>
      </c>
      <c r="S58" s="6">
        <f t="shared" si="13"/>
        <v>0</v>
      </c>
      <c r="T58" s="7"/>
      <c r="U58" s="6">
        <f t="shared" si="13"/>
        <v>0</v>
      </c>
      <c r="V58" s="6">
        <f t="shared" si="15"/>
        <v>1</v>
      </c>
      <c r="W58" s="6">
        <f t="shared" si="27"/>
        <v>1</v>
      </c>
      <c r="X58" s="7">
        <f t="shared" si="28"/>
        <v>0</v>
      </c>
      <c r="Y58" s="7">
        <f t="shared" si="29"/>
        <v>0</v>
      </c>
      <c r="Z58" s="24"/>
      <c r="AA58">
        <f t="shared" si="16"/>
        <v>2003</v>
      </c>
      <c r="AB58" s="40">
        <f>$I58*P$42</f>
        <v>79434.640030542621</v>
      </c>
      <c r="AC58" s="40"/>
      <c r="AD58" s="40">
        <f>$I58*R$42</f>
        <v>59575.980022906966</v>
      </c>
      <c r="AE58" s="40">
        <f>$I58*S$42</f>
        <v>39717.320015271311</v>
      </c>
      <c r="AF58" s="40"/>
      <c r="AG58" s="40">
        <f>$I58*U$42</f>
        <v>59575.980022906966</v>
      </c>
      <c r="AH58" s="40">
        <f>$I58*V$42</f>
        <v>158869.28006108524</v>
      </c>
      <c r="AI58" s="2">
        <f t="shared" si="17"/>
        <v>397173.20015271311</v>
      </c>
      <c r="AJ58" s="2">
        <f t="shared" si="7"/>
        <v>0</v>
      </c>
    </row>
    <row r="59" spans="1:36" x14ac:dyDescent="0.2">
      <c r="A59">
        <f t="shared" si="8"/>
        <v>2004</v>
      </c>
      <c r="B59" s="2">
        <f t="shared" si="31"/>
        <v>87965.920369822896</v>
      </c>
      <c r="C59" s="2"/>
      <c r="D59" s="2">
        <f t="shared" si="33"/>
        <v>71701.479236969215</v>
      </c>
      <c r="E59" s="2">
        <f t="shared" si="34"/>
        <v>47619.875178709844</v>
      </c>
      <c r="F59" s="2"/>
      <c r="G59" s="2">
        <f t="shared" si="30"/>
        <v>71989.826980280093</v>
      </c>
      <c r="H59" s="2">
        <f t="shared" si="21"/>
        <v>165605.33753567527</v>
      </c>
      <c r="I59" s="2">
        <f t="shared" si="22"/>
        <v>444882.43930145731</v>
      </c>
      <c r="J59" s="2">
        <f>I59-I58</f>
        <v>47709.239148744207</v>
      </c>
      <c r="K59" s="6">
        <f>(J59/I58)</f>
        <v>0.12012200000000001</v>
      </c>
      <c r="L59" s="7">
        <f t="shared" si="25"/>
        <v>1.1201220000000001</v>
      </c>
      <c r="O59">
        <f t="shared" si="26"/>
        <v>2004</v>
      </c>
      <c r="P59" s="6">
        <f t="shared" si="13"/>
        <v>0.19772846172113395</v>
      </c>
      <c r="Q59" s="7"/>
      <c r="R59" s="6">
        <f t="shared" si="13"/>
        <v>0.16116949760829621</v>
      </c>
      <c r="S59" s="6">
        <f t="shared" si="13"/>
        <v>0.1070392332263807</v>
      </c>
      <c r="T59" s="7"/>
      <c r="U59" s="6">
        <f t="shared" si="13"/>
        <v>0.16181764129264492</v>
      </c>
      <c r="V59" s="6">
        <f t="shared" si="15"/>
        <v>0.37224516615154424</v>
      </c>
      <c r="W59" s="6">
        <f t="shared" si="27"/>
        <v>1</v>
      </c>
      <c r="X59" s="7">
        <f t="shared" si="28"/>
        <v>0.62775483384845576</v>
      </c>
      <c r="Y59" s="7">
        <f t="shared" si="29"/>
        <v>0</v>
      </c>
      <c r="Z59" s="24"/>
      <c r="AA59">
        <f t="shared" si="16"/>
        <v>2004</v>
      </c>
      <c r="AB59" s="2">
        <f>B59</f>
        <v>87965.920369822896</v>
      </c>
      <c r="AC59" s="2"/>
      <c r="AD59" s="2">
        <f t="shared" ref="AD59:AE62" si="35">D59</f>
        <v>71701.479236969215</v>
      </c>
      <c r="AE59" s="2">
        <f t="shared" si="35"/>
        <v>47619.875178709844</v>
      </c>
      <c r="AF59" s="2"/>
      <c r="AG59" s="2">
        <f t="shared" ref="AG59:AH62" si="36">G59</f>
        <v>71989.826980280093</v>
      </c>
      <c r="AH59" s="2">
        <f t="shared" si="36"/>
        <v>165605.33753567527</v>
      </c>
      <c r="AI59" s="2">
        <f t="shared" si="17"/>
        <v>444882.43930145731</v>
      </c>
      <c r="AJ59" s="2">
        <f t="shared" si="7"/>
        <v>0</v>
      </c>
    </row>
    <row r="60" spans="1:36" x14ac:dyDescent="0.2">
      <c r="A60">
        <f t="shared" si="8"/>
        <v>2005</v>
      </c>
      <c r="B60" s="2">
        <f t="shared" si="31"/>
        <v>92161.894771463456</v>
      </c>
      <c r="C60" s="2"/>
      <c r="D60" s="2">
        <f t="shared" si="33"/>
        <v>81690.212309471404</v>
      </c>
      <c r="E60" s="2">
        <f t="shared" si="34"/>
        <v>51126.126588118255</v>
      </c>
      <c r="F60" s="2"/>
      <c r="G60" s="2">
        <f t="shared" si="30"/>
        <v>83199.362939379513</v>
      </c>
      <c r="H60" s="2">
        <f t="shared" si="21"/>
        <v>169579.86563653147</v>
      </c>
      <c r="I60" s="2">
        <f t="shared" si="22"/>
        <v>477757.46224496409</v>
      </c>
      <c r="J60" s="2">
        <f t="shared" si="23"/>
        <v>32875.022943506774</v>
      </c>
      <c r="K60" s="6">
        <f t="shared" si="24"/>
        <v>7.3895977991683084E-2</v>
      </c>
      <c r="L60" s="7">
        <f t="shared" si="25"/>
        <v>1.073895977991683</v>
      </c>
      <c r="O60">
        <f t="shared" si="26"/>
        <v>2005</v>
      </c>
      <c r="P60" s="6">
        <f t="shared" si="13"/>
        <v>0.19290519155556091</v>
      </c>
      <c r="Q60" s="7"/>
      <c r="R60" s="6">
        <f t="shared" si="13"/>
        <v>0.17098678464510467</v>
      </c>
      <c r="S60" s="6">
        <f t="shared" si="13"/>
        <v>0.10701272220402071</v>
      </c>
      <c r="T60" s="7"/>
      <c r="U60" s="6">
        <f t="shared" si="13"/>
        <v>0.17414560632591458</v>
      </c>
      <c r="V60" s="6">
        <f t="shared" si="15"/>
        <v>0.35494969526939912</v>
      </c>
      <c r="W60" s="6">
        <f t="shared" si="27"/>
        <v>1</v>
      </c>
      <c r="X60" s="7">
        <f t="shared" si="28"/>
        <v>0.64505030473060088</v>
      </c>
      <c r="Y60" s="7">
        <f t="shared" si="29"/>
        <v>0</v>
      </c>
      <c r="Z60" s="24"/>
      <c r="AA60">
        <f t="shared" si="16"/>
        <v>2005</v>
      </c>
      <c r="AB60" s="2">
        <f>B60</f>
        <v>92161.894771463456</v>
      </c>
      <c r="AC60" s="2"/>
      <c r="AD60" s="2">
        <f t="shared" si="35"/>
        <v>81690.212309471404</v>
      </c>
      <c r="AE60" s="2">
        <f t="shared" si="35"/>
        <v>51126.126588118255</v>
      </c>
      <c r="AF60" s="2"/>
      <c r="AG60" s="2">
        <f t="shared" si="36"/>
        <v>83199.362939379513</v>
      </c>
      <c r="AH60" s="2">
        <f t="shared" si="36"/>
        <v>169579.86563653147</v>
      </c>
      <c r="AI60" s="2">
        <f t="shared" si="17"/>
        <v>477757.46224496409</v>
      </c>
      <c r="AJ60" s="2">
        <f t="shared" si="7"/>
        <v>0</v>
      </c>
    </row>
    <row r="61" spans="1:36" x14ac:dyDescent="0.2">
      <c r="A61">
        <f t="shared" si="8"/>
        <v>2006</v>
      </c>
      <c r="B61" s="2">
        <f t="shared" si="31"/>
        <v>106576.01511372035</v>
      </c>
      <c r="C61" s="2"/>
      <c r="D61" s="2">
        <f t="shared" si="33"/>
        <v>92797.630477190221</v>
      </c>
      <c r="E61" s="2">
        <f t="shared" si="34"/>
        <v>59130.432966754051</v>
      </c>
      <c r="F61" s="2"/>
      <c r="G61" s="2">
        <f t="shared" si="30"/>
        <v>105361.17724554203</v>
      </c>
      <c r="H61" s="2">
        <f t="shared" si="21"/>
        <v>176820.92589921135</v>
      </c>
      <c r="I61" s="2">
        <f t="shared" si="22"/>
        <v>540686.18170241802</v>
      </c>
      <c r="J61" s="2">
        <f t="shared" si="23"/>
        <v>62928.719457453932</v>
      </c>
      <c r="K61" s="6">
        <f t="shared" si="24"/>
        <v>0.13171687400078333</v>
      </c>
      <c r="L61" s="7">
        <f t="shared" si="25"/>
        <v>1.1317168740007832</v>
      </c>
      <c r="O61">
        <f t="shared" si="26"/>
        <v>2006</v>
      </c>
      <c r="P61" s="6">
        <f t="shared" si="13"/>
        <v>0.1971125187223251</v>
      </c>
      <c r="Q61" s="7"/>
      <c r="R61" s="6">
        <f t="shared" si="13"/>
        <v>0.17162937322534355</v>
      </c>
      <c r="S61" s="6">
        <f t="shared" si="13"/>
        <v>0.10936183495678491</v>
      </c>
      <c r="T61" s="7"/>
      <c r="U61" s="6">
        <f t="shared" si="13"/>
        <v>0.1948656740473729</v>
      </c>
      <c r="V61" s="6">
        <f t="shared" si="15"/>
        <v>0.3270305990481735</v>
      </c>
      <c r="W61" s="6">
        <f t="shared" si="27"/>
        <v>1</v>
      </c>
      <c r="X61" s="7">
        <f t="shared" si="28"/>
        <v>0.67296940095182645</v>
      </c>
      <c r="Y61" s="7">
        <f t="shared" si="29"/>
        <v>0</v>
      </c>
      <c r="Z61" s="24"/>
      <c r="AA61">
        <f t="shared" si="16"/>
        <v>2006</v>
      </c>
      <c r="AB61" s="2">
        <f>B61</f>
        <v>106576.01511372035</v>
      </c>
      <c r="AC61" s="2"/>
      <c r="AD61" s="2">
        <f t="shared" si="35"/>
        <v>92797.630477190221</v>
      </c>
      <c r="AE61" s="2">
        <f t="shared" si="35"/>
        <v>59130.432966754051</v>
      </c>
      <c r="AF61" s="2"/>
      <c r="AG61" s="2">
        <f t="shared" si="36"/>
        <v>105361.17724554203</v>
      </c>
      <c r="AH61" s="2">
        <f t="shared" si="36"/>
        <v>176820.92589921135</v>
      </c>
      <c r="AI61" s="2">
        <f t="shared" si="17"/>
        <v>540686.18170241802</v>
      </c>
      <c r="AJ61" s="2">
        <f t="shared" si="7"/>
        <v>0</v>
      </c>
    </row>
    <row r="62" spans="1:36" x14ac:dyDescent="0.2">
      <c r="A62">
        <f t="shared" si="8"/>
        <v>2007</v>
      </c>
      <c r="B62" s="2">
        <f t="shared" si="31"/>
        <v>112320.46232834988</v>
      </c>
      <c r="C62" s="2"/>
      <c r="D62" s="2">
        <f t="shared" si="33"/>
        <v>98384.975808221847</v>
      </c>
      <c r="E62" s="2">
        <f t="shared" si="34"/>
        <v>59813.980771849732</v>
      </c>
      <c r="F62" s="2"/>
      <c r="G62" s="2">
        <f t="shared" si="30"/>
        <v>121715.33917759506</v>
      </c>
      <c r="H62" s="2">
        <f t="shared" si="21"/>
        <v>189056.93397143675</v>
      </c>
      <c r="I62" s="2">
        <f t="shared" si="22"/>
        <v>581291.69205745333</v>
      </c>
      <c r="J62" s="2">
        <f t="shared" si="23"/>
        <v>40605.510355035309</v>
      </c>
      <c r="K62" s="6">
        <f t="shared" si="24"/>
        <v>7.5099959512898565E-2</v>
      </c>
      <c r="L62" s="7">
        <f t="shared" si="25"/>
        <v>1.0750999595128985</v>
      </c>
      <c r="O62">
        <f t="shared" si="26"/>
        <v>2007</v>
      </c>
      <c r="P62" s="6">
        <f t="shared" si="13"/>
        <v>0.19322564533960074</v>
      </c>
      <c r="Q62" s="7"/>
      <c r="R62" s="6">
        <f t="shared" si="13"/>
        <v>0.16925233433148351</v>
      </c>
      <c r="S62" s="6">
        <f t="shared" si="13"/>
        <v>0.10289839264714259</v>
      </c>
      <c r="T62" s="7"/>
      <c r="U62" s="6">
        <f t="shared" si="13"/>
        <v>0.20938771505023512</v>
      </c>
      <c r="V62" s="6">
        <f t="shared" si="15"/>
        <v>0.32523591263153795</v>
      </c>
      <c r="W62" s="6">
        <f t="shared" si="27"/>
        <v>0.99999999999999989</v>
      </c>
      <c r="X62" s="7">
        <f t="shared" si="28"/>
        <v>0.67476408736846194</v>
      </c>
      <c r="Y62" s="7">
        <f t="shared" si="29"/>
        <v>0</v>
      </c>
      <c r="Z62" s="24"/>
      <c r="AA62">
        <f t="shared" si="16"/>
        <v>2007</v>
      </c>
      <c r="AB62" s="2">
        <f>B62</f>
        <v>112320.46232834988</v>
      </c>
      <c r="AC62" s="2"/>
      <c r="AD62" s="2">
        <f t="shared" si="35"/>
        <v>98384.975808221847</v>
      </c>
      <c r="AE62" s="2">
        <f t="shared" si="35"/>
        <v>59813.980771849732</v>
      </c>
      <c r="AF62" s="2"/>
      <c r="AG62" s="2">
        <f t="shared" si="36"/>
        <v>121715.33917759506</v>
      </c>
      <c r="AH62" s="2">
        <f t="shared" si="36"/>
        <v>189056.93397143675</v>
      </c>
      <c r="AI62" s="2">
        <f t="shared" si="17"/>
        <v>581291.69205745333</v>
      </c>
      <c r="AJ62" s="2">
        <f t="shared" si="7"/>
        <v>0</v>
      </c>
    </row>
    <row r="63" spans="1:36" x14ac:dyDescent="0.2">
      <c r="A63">
        <f t="shared" si="8"/>
        <v>2008</v>
      </c>
      <c r="B63" s="2">
        <f t="shared" si="31"/>
        <v>70739.427174394747</v>
      </c>
      <c r="C63" s="2"/>
      <c r="D63" s="2">
        <f t="shared" si="33"/>
        <v>57236.443526191149</v>
      </c>
      <c r="E63" s="2">
        <f t="shared" si="34"/>
        <v>38239.077907443534</v>
      </c>
      <c r="F63" s="2"/>
      <c r="G63" s="2">
        <f t="shared" si="30"/>
        <v>68037.657446883866</v>
      </c>
      <c r="H63" s="2">
        <f t="shared" si="21"/>
        <v>198604.3091369943</v>
      </c>
      <c r="I63" s="2">
        <f t="shared" si="22"/>
        <v>432856.91519190761</v>
      </c>
      <c r="J63" s="2">
        <f t="shared" si="23"/>
        <v>-148434.77686554572</v>
      </c>
      <c r="K63" s="6">
        <f t="shared" si="24"/>
        <v>-0.25535334306975577</v>
      </c>
      <c r="L63" s="7">
        <f t="shared" si="25"/>
        <v>0.74464665693024423</v>
      </c>
      <c r="O63">
        <f t="shared" si="26"/>
        <v>2008</v>
      </c>
      <c r="P63" s="6">
        <f t="shared" si="13"/>
        <v>0.16342450516940996</v>
      </c>
      <c r="Q63" s="7"/>
      <c r="R63" s="6">
        <f t="shared" si="13"/>
        <v>0.13222947703357196</v>
      </c>
      <c r="S63" s="6">
        <f t="shared" si="13"/>
        <v>8.8341150540450983E-2</v>
      </c>
      <c r="T63" s="7"/>
      <c r="U63" s="6">
        <f t="shared" si="13"/>
        <v>0.15718278964474738</v>
      </c>
      <c r="V63" s="6">
        <f t="shared" si="15"/>
        <v>0.4588220776118197</v>
      </c>
      <c r="W63" s="6">
        <f t="shared" si="27"/>
        <v>1</v>
      </c>
      <c r="X63" s="7">
        <f t="shared" si="28"/>
        <v>0.5411779223881803</v>
      </c>
      <c r="Y63" s="7">
        <f t="shared" si="29"/>
        <v>0</v>
      </c>
      <c r="Z63" s="24"/>
      <c r="AA63">
        <f t="shared" si="16"/>
        <v>2008</v>
      </c>
      <c r="AB63" s="40">
        <v>0</v>
      </c>
      <c r="AC63" s="40"/>
      <c r="AD63" s="40">
        <v>0</v>
      </c>
      <c r="AE63" s="40">
        <v>0</v>
      </c>
      <c r="AF63" s="40"/>
      <c r="AG63" s="40">
        <v>0</v>
      </c>
      <c r="AH63" s="40">
        <f>I63</f>
        <v>432856.91519190761</v>
      </c>
      <c r="AI63" s="2">
        <f t="shared" si="17"/>
        <v>432856.91519190761</v>
      </c>
      <c r="AJ63" s="2">
        <f t="shared" si="7"/>
        <v>0</v>
      </c>
    </row>
    <row r="64" spans="1:36" x14ac:dyDescent="0.2">
      <c r="A64">
        <f t="shared" si="8"/>
        <v>2009</v>
      </c>
      <c r="B64" s="2">
        <f t="shared" si="31"/>
        <v>0</v>
      </c>
      <c r="C64" s="2"/>
      <c r="D64" s="2">
        <f t="shared" si="33"/>
        <v>0</v>
      </c>
      <c r="E64" s="2">
        <f t="shared" si="34"/>
        <v>0</v>
      </c>
      <c r="F64" s="2"/>
      <c r="G64" s="2">
        <f t="shared" si="30"/>
        <v>0</v>
      </c>
      <c r="H64" s="2">
        <f t="shared" si="21"/>
        <v>458525.3302627877</v>
      </c>
      <c r="I64" s="2">
        <f t="shared" si="22"/>
        <v>458525.3302627877</v>
      </c>
      <c r="J64" s="2">
        <f t="shared" si="23"/>
        <v>25668.415070880088</v>
      </c>
      <c r="K64" s="6">
        <f t="shared" si="24"/>
        <v>5.9299999999999922E-2</v>
      </c>
      <c r="L64" s="7">
        <f t="shared" si="25"/>
        <v>1.0592999999999999</v>
      </c>
      <c r="O64">
        <f t="shared" si="26"/>
        <v>2009</v>
      </c>
      <c r="P64" s="6">
        <f t="shared" si="13"/>
        <v>0</v>
      </c>
      <c r="Q64" s="7"/>
      <c r="R64" s="6">
        <f t="shared" si="13"/>
        <v>0</v>
      </c>
      <c r="S64" s="6">
        <f t="shared" si="13"/>
        <v>0</v>
      </c>
      <c r="T64" s="7"/>
      <c r="U64" s="6">
        <f t="shared" si="13"/>
        <v>0</v>
      </c>
      <c r="V64" s="6">
        <f t="shared" si="15"/>
        <v>1</v>
      </c>
      <c r="W64" s="6">
        <f t="shared" si="27"/>
        <v>1</v>
      </c>
      <c r="X64" s="7">
        <f t="shared" si="28"/>
        <v>0</v>
      </c>
      <c r="Y64" s="7">
        <f t="shared" si="29"/>
        <v>0</v>
      </c>
      <c r="Z64" s="24"/>
      <c r="AA64">
        <f t="shared" si="16"/>
        <v>2009</v>
      </c>
      <c r="AB64" s="40">
        <f>$I64*P$42</f>
        <v>91705.066052557551</v>
      </c>
      <c r="AC64" s="40"/>
      <c r="AD64" s="40">
        <f>$I64*R$42</f>
        <v>68778.799539418149</v>
      </c>
      <c r="AE64" s="40">
        <f>$I64*S$42</f>
        <v>45852.533026278776</v>
      </c>
      <c r="AF64" s="40"/>
      <c r="AG64" s="40">
        <f>$I64*U$42</f>
        <v>68778.799539418149</v>
      </c>
      <c r="AH64" s="40">
        <f>$I64*V$42</f>
        <v>183410.1321051151</v>
      </c>
      <c r="AI64" s="2">
        <f t="shared" si="17"/>
        <v>458525.3302627877</v>
      </c>
      <c r="AJ64" s="2">
        <f t="shared" si="7"/>
        <v>0</v>
      </c>
    </row>
    <row r="65" spans="1:36" x14ac:dyDescent="0.2">
      <c r="A65">
        <f t="shared" si="8"/>
        <v>2010</v>
      </c>
      <c r="B65" s="2">
        <f t="shared" si="31"/>
        <v>105378.29140099388</v>
      </c>
      <c r="C65" s="2"/>
      <c r="D65" s="2">
        <f t="shared" si="33"/>
        <v>86289.881902154011</v>
      </c>
      <c r="E65" s="2">
        <f t="shared" si="34"/>
        <v>58562.855181163257</v>
      </c>
      <c r="F65" s="2"/>
      <c r="G65" s="2">
        <f t="shared" si="30"/>
        <v>76427.002048201452</v>
      </c>
      <c r="H65" s="2">
        <f t="shared" si="21"/>
        <v>195185.06258626349</v>
      </c>
      <c r="I65" s="2">
        <f t="shared" si="22"/>
        <v>521843.0931187761</v>
      </c>
      <c r="J65" s="2">
        <f t="shared" si="23"/>
        <v>63317.762855988403</v>
      </c>
      <c r="K65" s="6">
        <f t="shared" si="24"/>
        <v>0.1380900000000001</v>
      </c>
      <c r="L65" s="7">
        <f t="shared" si="25"/>
        <v>1.13809</v>
      </c>
      <c r="O65">
        <f t="shared" si="26"/>
        <v>2010</v>
      </c>
      <c r="P65" s="6">
        <f t="shared" si="13"/>
        <v>0.20193482062051332</v>
      </c>
      <c r="Q65" s="7"/>
      <c r="R65" s="6">
        <f t="shared" si="13"/>
        <v>0.16535599117820204</v>
      </c>
      <c r="S65" s="6">
        <f t="shared" si="13"/>
        <v>0.11222311065030008</v>
      </c>
      <c r="T65" s="7"/>
      <c r="U65" s="6">
        <f t="shared" si="13"/>
        <v>0.14645590419035401</v>
      </c>
      <c r="V65" s="6">
        <f t="shared" si="15"/>
        <v>0.37403017336063055</v>
      </c>
      <c r="W65" s="6">
        <f t="shared" si="27"/>
        <v>1</v>
      </c>
      <c r="X65" s="7">
        <f t="shared" si="28"/>
        <v>0.62596982663936951</v>
      </c>
      <c r="Y65" s="7">
        <f t="shared" si="29"/>
        <v>0</v>
      </c>
      <c r="Z65" s="24"/>
      <c r="AA65">
        <f t="shared" si="16"/>
        <v>2010</v>
      </c>
      <c r="AB65" s="2">
        <f>B65</f>
        <v>105378.29140099388</v>
      </c>
      <c r="AC65" s="2"/>
      <c r="AD65" s="2">
        <f t="shared" ref="AD65:AE67" si="37">D65</f>
        <v>86289.881902154011</v>
      </c>
      <c r="AE65" s="2">
        <f t="shared" si="37"/>
        <v>58562.855181163257</v>
      </c>
      <c r="AF65" s="2"/>
      <c r="AG65" s="2">
        <f t="shared" ref="AG65:AH67" si="38">G65</f>
        <v>76427.002048201452</v>
      </c>
      <c r="AH65" s="2">
        <f t="shared" si="38"/>
        <v>195185.06258626349</v>
      </c>
      <c r="AI65" s="2">
        <f t="shared" si="17"/>
        <v>521843.0931187761</v>
      </c>
      <c r="AJ65" s="2">
        <f t="shared" si="7"/>
        <v>0</v>
      </c>
    </row>
    <row r="66" spans="1:36" x14ac:dyDescent="0.2">
      <c r="A66">
        <f t="shared" si="8"/>
        <v>2011</v>
      </c>
      <c r="B66" s="2">
        <f t="shared" si="31"/>
        <v>107454.24374159347</v>
      </c>
      <c r="C66" s="2"/>
      <c r="D66" s="2">
        <f t="shared" si="33"/>
        <v>84469.165394018564</v>
      </c>
      <c r="E66" s="2">
        <f t="shared" si="34"/>
        <v>56923.095236090681</v>
      </c>
      <c r="F66" s="2"/>
      <c r="G66" s="2">
        <f t="shared" si="30"/>
        <v>65299.230549983324</v>
      </c>
      <c r="H66" s="2">
        <f t="shared" si="21"/>
        <v>209941.05331778503</v>
      </c>
      <c r="I66" s="2">
        <f t="shared" si="22"/>
        <v>524086.78823947103</v>
      </c>
      <c r="J66" s="2">
        <f t="shared" si="23"/>
        <v>2243.6951206949307</v>
      </c>
      <c r="K66" s="6">
        <f t="shared" si="24"/>
        <v>4.2995589101037426E-3</v>
      </c>
      <c r="L66" s="7">
        <f t="shared" si="25"/>
        <v>1.0042995589101038</v>
      </c>
      <c r="O66">
        <f t="shared" si="26"/>
        <v>2011</v>
      </c>
      <c r="P66" s="6">
        <f t="shared" si="13"/>
        <v>0.20503139203824841</v>
      </c>
      <c r="Q66" s="7"/>
      <c r="R66" s="6">
        <f t="shared" si="13"/>
        <v>0.16117400264519177</v>
      </c>
      <c r="S66" s="6">
        <f t="shared" si="13"/>
        <v>0.10861387181178245</v>
      </c>
      <c r="T66" s="7"/>
      <c r="U66" s="6">
        <f t="shared" si="13"/>
        <v>0.12459621577055695</v>
      </c>
      <c r="V66" s="6">
        <f t="shared" si="15"/>
        <v>0.40058451773422049</v>
      </c>
      <c r="W66" s="6">
        <f t="shared" si="27"/>
        <v>1</v>
      </c>
      <c r="X66" s="7">
        <f t="shared" si="28"/>
        <v>0.59941548226577956</v>
      </c>
      <c r="Y66" s="7">
        <f t="shared" si="29"/>
        <v>0</v>
      </c>
      <c r="Z66" s="24"/>
      <c r="AA66">
        <f t="shared" si="16"/>
        <v>2011</v>
      </c>
      <c r="AB66" s="2">
        <f>B66</f>
        <v>107454.24374159347</v>
      </c>
      <c r="AC66" s="2"/>
      <c r="AD66" s="2">
        <f t="shared" si="37"/>
        <v>84469.165394018564</v>
      </c>
      <c r="AE66" s="2">
        <f t="shared" si="37"/>
        <v>56923.095236090681</v>
      </c>
      <c r="AF66" s="2"/>
      <c r="AG66" s="2">
        <f t="shared" si="38"/>
        <v>65299.230549983324</v>
      </c>
      <c r="AH66" s="2">
        <f t="shared" si="38"/>
        <v>209941.05331778503</v>
      </c>
      <c r="AI66" s="2">
        <f t="shared" si="17"/>
        <v>524086.78823947103</v>
      </c>
      <c r="AJ66" s="2">
        <f t="shared" si="7"/>
        <v>0</v>
      </c>
    </row>
    <row r="67" spans="1:36" x14ac:dyDescent="0.2">
      <c r="A67">
        <f t="shared" si="8"/>
        <v>2012</v>
      </c>
      <c r="B67" s="2">
        <f t="shared" si="31"/>
        <v>124453.50510151354</v>
      </c>
      <c r="C67" s="2"/>
      <c r="D67" s="2">
        <f t="shared" si="33"/>
        <v>97815.293526273497</v>
      </c>
      <c r="E67" s="2">
        <f t="shared" si="34"/>
        <v>67192.02161668145</v>
      </c>
      <c r="F67" s="2"/>
      <c r="G67" s="2">
        <f t="shared" si="30"/>
        <v>77144.510971750293</v>
      </c>
      <c r="H67" s="2">
        <f t="shared" si="21"/>
        <v>218443.66597715532</v>
      </c>
      <c r="I67" s="2">
        <f t="shared" si="22"/>
        <v>585048.99719337421</v>
      </c>
      <c r="J67" s="2">
        <f t="shared" si="23"/>
        <v>60962.208953903173</v>
      </c>
      <c r="K67" s="6">
        <f t="shared" si="24"/>
        <v>0.11632082762225196</v>
      </c>
      <c r="L67" s="7">
        <f t="shared" si="25"/>
        <v>1.116320827622252</v>
      </c>
      <c r="O67">
        <f t="shared" si="26"/>
        <v>2012</v>
      </c>
      <c r="P67" s="6">
        <f t="shared" si="13"/>
        <v>0.21272321753998041</v>
      </c>
      <c r="Q67" s="7"/>
      <c r="R67" s="6">
        <f t="shared" si="13"/>
        <v>0.16719162667659945</v>
      </c>
      <c r="S67" s="6">
        <f t="shared" si="13"/>
        <v>0.11484853736869616</v>
      </c>
      <c r="T67" s="7"/>
      <c r="U67" s="6">
        <f t="shared" si="13"/>
        <v>0.13185991488205556</v>
      </c>
      <c r="V67" s="6">
        <f t="shared" si="15"/>
        <v>0.37337670353266822</v>
      </c>
      <c r="W67" s="6">
        <f t="shared" si="27"/>
        <v>0.99999999999999978</v>
      </c>
      <c r="X67" s="7">
        <f t="shared" si="28"/>
        <v>0.6266232964673315</v>
      </c>
      <c r="Y67" s="7">
        <f t="shared" si="29"/>
        <v>0</v>
      </c>
      <c r="Z67" s="24"/>
      <c r="AA67">
        <f t="shared" si="16"/>
        <v>2012</v>
      </c>
      <c r="AB67" s="2">
        <f>B67</f>
        <v>124453.50510151354</v>
      </c>
      <c r="AC67" s="2"/>
      <c r="AD67" s="2">
        <f t="shared" si="37"/>
        <v>97815.293526273497</v>
      </c>
      <c r="AE67" s="2">
        <f t="shared" si="37"/>
        <v>67192.02161668145</v>
      </c>
      <c r="AF67" s="2"/>
      <c r="AG67" s="2">
        <f t="shared" si="38"/>
        <v>77144.510971750293</v>
      </c>
      <c r="AH67" s="2">
        <f t="shared" si="38"/>
        <v>218443.66597715532</v>
      </c>
      <c r="AI67" s="2">
        <f t="shared" si="17"/>
        <v>585048.99719337421</v>
      </c>
      <c r="AJ67" s="2">
        <f t="shared" si="7"/>
        <v>0</v>
      </c>
    </row>
    <row r="68" spans="1:36" x14ac:dyDescent="0.2">
      <c r="A68">
        <f t="shared" si="8"/>
        <v>2013</v>
      </c>
      <c r="B68" s="2">
        <f t="shared" si="31"/>
        <v>164502.64304318061</v>
      </c>
      <c r="C68" s="2"/>
      <c r="D68" s="2">
        <f t="shared" ref="D68:E68" si="39">AD67*(1+(D29/100))</f>
        <v>132050.64626046922</v>
      </c>
      <c r="E68" s="2">
        <f t="shared" si="39"/>
        <v>92469.660148876996</v>
      </c>
      <c r="F68" s="2"/>
      <c r="G68" s="2">
        <f t="shared" ref="G68:H68" si="40">AG67*(1+(G29/100))</f>
        <v>88747.045421901523</v>
      </c>
      <c r="H68" s="2">
        <f t="shared" si="40"/>
        <v>213506.83912607163</v>
      </c>
      <c r="I68" s="2">
        <f t="shared" ref="I68:I69" si="41">SUM(B68:H68)</f>
        <v>691276.83400049992</v>
      </c>
      <c r="J68" s="2">
        <f t="shared" ref="J68:J69" si="42">I68-I67</f>
        <v>106227.83680712571</v>
      </c>
      <c r="K68" s="6">
        <f t="shared" ref="K68:K69" si="43">(J68/I67)</f>
        <v>0.18157083819770159</v>
      </c>
      <c r="L68" s="7">
        <f t="shared" ref="L68:L69" si="44">K68+1</f>
        <v>1.1815708381977017</v>
      </c>
      <c r="O68">
        <f t="shared" ref="O68:O69" si="45">A68</f>
        <v>2013</v>
      </c>
      <c r="P68" s="6">
        <f t="shared" ref="P68:P69" si="46">B68/$I68</f>
        <v>0.23796926925958817</v>
      </c>
      <c r="Q68" s="7"/>
      <c r="R68" s="6">
        <f t="shared" ref="R68:R69" si="47">D68/$I68</f>
        <v>0.19102426085404409</v>
      </c>
      <c r="S68" s="6">
        <f t="shared" ref="S68:S69" si="48">E68/$I68</f>
        <v>0.13376646750006688</v>
      </c>
      <c r="T68" s="7"/>
      <c r="U68" s="6">
        <f t="shared" ref="U68:U69" si="49">G68/$I68</f>
        <v>0.12838133878769231</v>
      </c>
      <c r="V68" s="6">
        <f t="shared" ref="V68:V69" si="50">H68/$I68</f>
        <v>0.30885866359860864</v>
      </c>
      <c r="W68" s="6">
        <f t="shared" ref="W68:W69" si="51">SUM(P68:V68)</f>
        <v>1.0000000000000002</v>
      </c>
      <c r="X68" s="7">
        <f t="shared" ref="X68:X69" si="52">SUM(P68:U68)</f>
        <v>0.69114133640139153</v>
      </c>
      <c r="Y68" s="7">
        <f t="shared" ref="Y68:Y69" si="53">W68-(X68+V68)</f>
        <v>0</v>
      </c>
      <c r="Z68" s="24"/>
      <c r="AA68">
        <f t="shared" ref="AA68:AA69" si="54">O68</f>
        <v>2013</v>
      </c>
      <c r="AB68" s="2">
        <f t="shared" ref="AB68:AB69" si="55">B68</f>
        <v>164502.64304318061</v>
      </c>
      <c r="AC68" s="2"/>
      <c r="AD68" s="2">
        <f t="shared" ref="AD68:AD69" si="56">D68</f>
        <v>132050.64626046922</v>
      </c>
      <c r="AE68" s="2">
        <f t="shared" ref="AE68:AE69" si="57">E68</f>
        <v>92469.660148876996</v>
      </c>
      <c r="AF68" s="2"/>
      <c r="AG68" s="2">
        <f t="shared" ref="AG68:AG69" si="58">G68</f>
        <v>88747.045421901523</v>
      </c>
      <c r="AH68" s="2">
        <f t="shared" ref="AH68:AH69" si="59">H68</f>
        <v>213506.83912607163</v>
      </c>
      <c r="AI68" s="2">
        <f t="shared" ref="AI68:AI69" si="60">SUM(AB68:AH68)</f>
        <v>691276.83400049992</v>
      </c>
      <c r="AJ68" s="2">
        <f t="shared" ref="AJ68:AJ69" si="61">AI68-I68</f>
        <v>0</v>
      </c>
    </row>
    <row r="69" spans="1:36" x14ac:dyDescent="0.2">
      <c r="A69">
        <f t="shared" si="8"/>
        <v>2014</v>
      </c>
      <c r="B69" s="2">
        <f t="shared" si="31"/>
        <v>186726.9501183143</v>
      </c>
      <c r="C69" s="2"/>
      <c r="D69" s="2">
        <f t="shared" ref="D69:E69" si="62">AD68*(1+(D30/100))</f>
        <v>150009.53415189305</v>
      </c>
      <c r="E69" s="2">
        <f t="shared" si="62"/>
        <v>99284.674101849232</v>
      </c>
      <c r="F69" s="2"/>
      <c r="G69" s="2">
        <f t="shared" ref="G69:H69" si="63">AG68*(1+(G30/100))</f>
        <v>84984.170696012894</v>
      </c>
      <c r="H69" s="2">
        <f t="shared" si="63"/>
        <v>225804.83305973338</v>
      </c>
      <c r="I69" s="2">
        <f t="shared" si="41"/>
        <v>746810.16212780285</v>
      </c>
      <c r="J69" s="2">
        <f t="shared" si="42"/>
        <v>55533.328127302928</v>
      </c>
      <c r="K69" s="6">
        <f t="shared" si="43"/>
        <v>8.0334426666557102E-2</v>
      </c>
      <c r="L69" s="7">
        <f t="shared" si="44"/>
        <v>1.0803344266665571</v>
      </c>
      <c r="O69">
        <f t="shared" si="45"/>
        <v>2014</v>
      </c>
      <c r="P69" s="6">
        <f t="shared" si="46"/>
        <v>0.25003268512883386</v>
      </c>
      <c r="Q69" s="7"/>
      <c r="R69" s="6">
        <f t="shared" si="47"/>
        <v>0.20086702318630431</v>
      </c>
      <c r="S69" s="6">
        <f t="shared" si="48"/>
        <v>0.13294499611382965</v>
      </c>
      <c r="T69" s="7"/>
      <c r="U69" s="6">
        <f t="shared" si="49"/>
        <v>0.1137962162350295</v>
      </c>
      <c r="V69" s="6">
        <f t="shared" si="50"/>
        <v>0.3023590793360027</v>
      </c>
      <c r="W69" s="6">
        <f t="shared" si="51"/>
        <v>1</v>
      </c>
      <c r="X69" s="7">
        <f t="shared" si="52"/>
        <v>0.6976409206639973</v>
      </c>
      <c r="Y69" s="7">
        <f t="shared" si="53"/>
        <v>0</v>
      </c>
      <c r="Z69" s="24"/>
      <c r="AA69">
        <f t="shared" si="54"/>
        <v>2014</v>
      </c>
      <c r="AB69" s="2">
        <f t="shared" si="55"/>
        <v>186726.9501183143</v>
      </c>
      <c r="AC69" s="2"/>
      <c r="AD69" s="2">
        <f t="shared" si="56"/>
        <v>150009.53415189305</v>
      </c>
      <c r="AE69" s="2">
        <f t="shared" si="57"/>
        <v>99284.674101849232</v>
      </c>
      <c r="AF69" s="2"/>
      <c r="AG69" s="2">
        <f t="shared" si="58"/>
        <v>84984.170696012894</v>
      </c>
      <c r="AH69" s="2">
        <f t="shared" si="59"/>
        <v>225804.83305973338</v>
      </c>
      <c r="AI69" s="2">
        <f t="shared" si="60"/>
        <v>746810.16212780285</v>
      </c>
      <c r="AJ69" s="2">
        <f t="shared" si="61"/>
        <v>0</v>
      </c>
    </row>
    <row r="70" spans="1:36" x14ac:dyDescent="0.2">
      <c r="A70">
        <f t="shared" si="8"/>
        <v>2015</v>
      </c>
      <c r="B70" s="2">
        <f t="shared" si="31"/>
        <v>189061.03699479322</v>
      </c>
      <c r="C70" s="2"/>
      <c r="D70" s="2">
        <f>AD69*(1+(D31/100))</f>
        <v>147819.39495327542</v>
      </c>
      <c r="E70" s="2">
        <f>AE69*(1+(E31/100))</f>
        <v>95531.713420799322</v>
      </c>
      <c r="F70" s="2"/>
      <c r="G70" s="2">
        <f>AG69*(1+(G31/100))</f>
        <v>81270.362436597134</v>
      </c>
      <c r="H70" s="2">
        <f>AH69*(1+(H31/100))</f>
        <v>226482.24755891255</v>
      </c>
      <c r="I70" s="2">
        <f t="shared" ref="I70" si="64">SUM(B70:H70)</f>
        <v>740164.75536437775</v>
      </c>
      <c r="J70" s="2">
        <f t="shared" ref="J70" si="65">I70-I69</f>
        <v>-6645.4067634250969</v>
      </c>
      <c r="K70" s="6">
        <f t="shared" ref="K70" si="66">(J70/I69)</f>
        <v>-8.8983882389750569E-3</v>
      </c>
      <c r="L70" s="7">
        <f t="shared" ref="L70" si="67">K70+1</f>
        <v>0.99110161176102496</v>
      </c>
      <c r="O70">
        <f t="shared" ref="O70" si="68">A70</f>
        <v>2015</v>
      </c>
      <c r="P70" s="6">
        <f t="shared" ref="P70" si="69">B70/$I70</f>
        <v>0.25543101805991808</v>
      </c>
      <c r="Q70" s="7"/>
      <c r="R70" s="6">
        <f t="shared" ref="R70" si="70">D70/$I70</f>
        <v>0.19971147488710808</v>
      </c>
      <c r="S70" s="6">
        <f t="shared" ref="S70" si="71">E70/$I70</f>
        <v>0.12906817398211531</v>
      </c>
      <c r="T70" s="7"/>
      <c r="U70" s="6">
        <f t="shared" ref="U70" si="72">G70/$I70</f>
        <v>0.10980036788780671</v>
      </c>
      <c r="V70" s="6">
        <f t="shared" ref="V70" si="73">H70/$I70</f>
        <v>0.30598896518305169</v>
      </c>
      <c r="W70" s="6">
        <f t="shared" ref="W70" si="74">SUM(P70:V70)</f>
        <v>0.99999999999999978</v>
      </c>
      <c r="X70" s="7">
        <f t="shared" ref="X70" si="75">SUM(P70:U70)</f>
        <v>0.69401103481694815</v>
      </c>
      <c r="Y70" s="7">
        <f t="shared" ref="Y70" si="76">W70-(X70+V70)</f>
        <v>0</v>
      </c>
      <c r="Z70" s="24"/>
      <c r="AA70">
        <f t="shared" ref="AA70" si="77">O70</f>
        <v>2015</v>
      </c>
      <c r="AB70" s="2">
        <f t="shared" ref="AB70" si="78">B70</f>
        <v>189061.03699479322</v>
      </c>
      <c r="AC70" s="2"/>
      <c r="AD70" s="2">
        <f t="shared" ref="AD70" si="79">D70</f>
        <v>147819.39495327542</v>
      </c>
      <c r="AE70" s="2">
        <f t="shared" ref="AE70" si="80">E70</f>
        <v>95531.713420799322</v>
      </c>
      <c r="AF70" s="2"/>
      <c r="AG70" s="2">
        <f t="shared" ref="AG70" si="81">G70</f>
        <v>81270.362436597134</v>
      </c>
      <c r="AH70" s="2">
        <f t="shared" ref="AH70" si="82">H70</f>
        <v>226482.24755891255</v>
      </c>
      <c r="AI70" s="2">
        <f t="shared" ref="AI70" si="83">SUM(AB70:AH70)</f>
        <v>740164.75536437775</v>
      </c>
      <c r="AJ70" s="2">
        <f t="shared" ref="AJ70" si="84">AI70-I70</f>
        <v>0</v>
      </c>
    </row>
    <row r="71" spans="1:36" x14ac:dyDescent="0.2">
      <c r="A71">
        <f t="shared" si="8"/>
        <v>2016</v>
      </c>
      <c r="B71" s="2">
        <f t="shared" si="31"/>
        <v>211408.05156757779</v>
      </c>
      <c r="C71" s="2"/>
      <c r="D71" s="2">
        <f t="shared" ref="D71:E71" si="85">AD70*(1+(D32/100))</f>
        <v>164183.00197460302</v>
      </c>
      <c r="E71" s="2">
        <f t="shared" si="85"/>
        <v>112889.82574935856</v>
      </c>
      <c r="F71" s="2"/>
      <c r="G71" s="2">
        <f t="shared" ref="G71:H71" si="86">AG70*(1+(G32/100))</f>
        <v>85049.434289898898</v>
      </c>
      <c r="H71" s="2">
        <f t="shared" si="86"/>
        <v>232144.30374788534</v>
      </c>
      <c r="I71" s="2">
        <f t="shared" ref="I71:I72" si="87">SUM(B71:H71)</f>
        <v>805674.61732932366</v>
      </c>
      <c r="J71" s="2">
        <f t="shared" ref="J71:J72" si="88">I71-I70</f>
        <v>65509.861964945914</v>
      </c>
      <c r="K71" s="6">
        <f t="shared" ref="K71:K72" si="89">(J71/I70)</f>
        <v>8.8507135053594768E-2</v>
      </c>
      <c r="L71" s="7">
        <f t="shared" ref="L71:L72" si="90">K71+1</f>
        <v>1.0885071350535949</v>
      </c>
      <c r="O71">
        <f t="shared" ref="O71:O72" si="91">A71</f>
        <v>2016</v>
      </c>
      <c r="P71" s="6">
        <f t="shared" ref="P71:P72" si="92">B71/$I71</f>
        <v>0.26239879849803394</v>
      </c>
      <c r="Q71" s="7"/>
      <c r="R71" s="6">
        <f t="shared" ref="R71:R72" si="93">D71/$I71</f>
        <v>0.20378326242775546</v>
      </c>
      <c r="S71" s="6">
        <f t="shared" ref="S71:S72" si="94">E71/$I71</f>
        <v>0.14011838442120642</v>
      </c>
      <c r="T71" s="7"/>
      <c r="U71" s="6">
        <f t="shared" ref="U71:U72" si="95">G71/$I71</f>
        <v>0.10556300578492037</v>
      </c>
      <c r="V71" s="6">
        <f t="shared" ref="V71:V72" si="96">H71/$I71</f>
        <v>0.28813654886808376</v>
      </c>
      <c r="W71" s="6">
        <f t="shared" ref="W71:W72" si="97">SUM(P71:V71)</f>
        <v>1</v>
      </c>
      <c r="X71" s="7">
        <f t="shared" ref="X71:X72" si="98">SUM(P71:U71)</f>
        <v>0.71186345113191618</v>
      </c>
      <c r="Y71" s="7">
        <f t="shared" ref="Y71:Y72" si="99">W71-(X71+V71)</f>
        <v>0</v>
      </c>
      <c r="Z71" s="24"/>
      <c r="AA71">
        <f t="shared" ref="AA71:AA72" si="100">O71</f>
        <v>2016</v>
      </c>
      <c r="AB71" s="2">
        <f t="shared" ref="AB71:AB72" si="101">B71</f>
        <v>211408.05156757779</v>
      </c>
      <c r="AC71" s="2"/>
      <c r="AD71" s="2">
        <f t="shared" ref="AD71:AD72" si="102">D71</f>
        <v>164183.00197460302</v>
      </c>
      <c r="AE71" s="2">
        <f t="shared" ref="AE71:AE72" si="103">E71</f>
        <v>112889.82574935856</v>
      </c>
      <c r="AF71" s="2"/>
      <c r="AG71" s="2">
        <f t="shared" ref="AG71:AG72" si="104">G71</f>
        <v>85049.434289898898</v>
      </c>
      <c r="AH71" s="2">
        <f t="shared" ref="AH71:AH72" si="105">H71</f>
        <v>232144.30374788534</v>
      </c>
      <c r="AI71" s="2">
        <f t="shared" ref="AI71:AI72" si="106">SUM(AB71:AH71)</f>
        <v>805674.61732932366</v>
      </c>
      <c r="AJ71" s="2">
        <f t="shared" ref="AJ71:AJ72" si="107">AI71-I71</f>
        <v>0</v>
      </c>
    </row>
    <row r="72" spans="1:36" x14ac:dyDescent="0.2">
      <c r="A72">
        <f t="shared" si="8"/>
        <v>2017</v>
      </c>
      <c r="B72" s="2">
        <f t="shared" si="31"/>
        <v>257220.17634227188</v>
      </c>
      <c r="C72" s="2"/>
      <c r="D72" s="2">
        <f>AD71*(1+(D33/100))</f>
        <v>196362.87036162519</v>
      </c>
      <c r="E72" s="2">
        <f>AE71*(1+(E33/100))</f>
        <v>131065.08769500529</v>
      </c>
      <c r="F72" s="2"/>
      <c r="G72" s="2">
        <f>AG71*(1+(G33/100))</f>
        <v>108352.9792853312</v>
      </c>
      <c r="H72" s="2">
        <f>AH71*(1+(H33/100))</f>
        <v>240176.49665756215</v>
      </c>
      <c r="I72" s="2">
        <f t="shared" si="87"/>
        <v>933177.61034179572</v>
      </c>
      <c r="J72" s="2">
        <f t="shared" si="88"/>
        <v>127502.99301247206</v>
      </c>
      <c r="K72" s="6">
        <f t="shared" si="89"/>
        <v>0.15825618713808201</v>
      </c>
      <c r="L72" s="7">
        <f t="shared" si="90"/>
        <v>1.1582561871380821</v>
      </c>
      <c r="O72">
        <f t="shared" si="91"/>
        <v>2017</v>
      </c>
      <c r="P72" s="6">
        <f t="shared" si="92"/>
        <v>0.27563903536869006</v>
      </c>
      <c r="Q72" s="7"/>
      <c r="R72" s="6">
        <f t="shared" si="93"/>
        <v>0.21042389807198997</v>
      </c>
      <c r="S72" s="6">
        <f t="shared" si="94"/>
        <v>0.140450313254944</v>
      </c>
      <c r="T72" s="7"/>
      <c r="U72" s="6">
        <f t="shared" si="95"/>
        <v>0.11611185061077994</v>
      </c>
      <c r="V72" s="6">
        <f t="shared" si="96"/>
        <v>0.25737490269359603</v>
      </c>
      <c r="W72" s="6">
        <f t="shared" si="97"/>
        <v>1</v>
      </c>
      <c r="X72" s="7">
        <f t="shared" si="98"/>
        <v>0.74262509730640391</v>
      </c>
      <c r="Y72" s="7">
        <f t="shared" si="99"/>
        <v>0</v>
      </c>
      <c r="Z72" s="24"/>
      <c r="AA72">
        <f t="shared" si="100"/>
        <v>2017</v>
      </c>
      <c r="AB72" s="2">
        <f t="shared" si="101"/>
        <v>257220.17634227188</v>
      </c>
      <c r="AC72" s="2"/>
      <c r="AD72" s="2">
        <f t="shared" si="102"/>
        <v>196362.87036162519</v>
      </c>
      <c r="AE72" s="2">
        <f t="shared" si="103"/>
        <v>131065.08769500529</v>
      </c>
      <c r="AF72" s="2"/>
      <c r="AG72" s="2">
        <f t="shared" si="104"/>
        <v>108352.9792853312</v>
      </c>
      <c r="AH72" s="2">
        <f t="shared" si="105"/>
        <v>240176.49665756215</v>
      </c>
      <c r="AI72" s="2">
        <f t="shared" si="106"/>
        <v>933177.61034179572</v>
      </c>
      <c r="AJ72" s="2">
        <f t="shared" si="107"/>
        <v>0</v>
      </c>
    </row>
    <row r="73" spans="1:36" x14ac:dyDescent="0.2">
      <c r="A73">
        <f t="shared" si="8"/>
        <v>2018</v>
      </c>
      <c r="B73" s="2">
        <f t="shared" si="31"/>
        <v>245645.26840686964</v>
      </c>
      <c r="C73" s="2"/>
      <c r="D73" s="2">
        <f>AD72*(1+(D34/100))</f>
        <v>178101.12341799404</v>
      </c>
      <c r="E73" s="2">
        <f>AE72*(1+(E34/100))</f>
        <v>118744.9694516748</v>
      </c>
      <c r="F73" s="2"/>
      <c r="G73" s="2">
        <f>AG72*(1+(G34/100))</f>
        <v>92641.797288958172</v>
      </c>
      <c r="H73" s="2">
        <f>AH72*(1+(H34/100))</f>
        <v>239936.32016090458</v>
      </c>
      <c r="I73" s="2">
        <f t="shared" ref="I73" si="108">SUM(B73:H73)</f>
        <v>875069.47872640123</v>
      </c>
      <c r="J73" s="2">
        <f t="shared" ref="J73" si="109">I73-I72</f>
        <v>-58108.131615394494</v>
      </c>
      <c r="K73" s="6">
        <f t="shared" ref="K73" si="110">(J73/I72)</f>
        <v>-6.2269101799507579E-2</v>
      </c>
      <c r="L73" s="7">
        <f t="shared" ref="L73" si="111">K73+1</f>
        <v>0.93773089820049238</v>
      </c>
      <c r="O73">
        <f t="shared" ref="O73" si="112">A73</f>
        <v>2018</v>
      </c>
      <c r="P73" s="6">
        <f t="shared" ref="P73" si="113">B73/$I73</f>
        <v>0.28071515962868243</v>
      </c>
      <c r="Q73" s="7"/>
      <c r="R73" s="6">
        <f t="shared" ref="R73" si="114">D73/$I73</f>
        <v>0.2035279800607456</v>
      </c>
      <c r="S73" s="6">
        <f t="shared" ref="S73" si="115">E73/$I73</f>
        <v>0.13569776153603175</v>
      </c>
      <c r="T73" s="7"/>
      <c r="U73" s="6">
        <f t="shared" ref="U73" si="116">G73/$I73</f>
        <v>0.1058679333940334</v>
      </c>
      <c r="V73" s="6">
        <f t="shared" ref="V73" si="117">H73/$I73</f>
        <v>0.27419116538050681</v>
      </c>
      <c r="W73" s="6">
        <f t="shared" ref="W73" si="118">SUM(P73:V73)</f>
        <v>1</v>
      </c>
      <c r="X73" s="7">
        <f t="shared" ref="X73" si="119">SUM(P73:U73)</f>
        <v>0.72580883461949319</v>
      </c>
      <c r="Y73" s="7">
        <f t="shared" ref="Y73" si="120">W73-(X73+V73)</f>
        <v>0</v>
      </c>
      <c r="Z73" s="24"/>
      <c r="AA73">
        <f t="shared" ref="AA73" si="121">O73</f>
        <v>2018</v>
      </c>
      <c r="AB73" s="2">
        <f t="shared" ref="AB73" si="122">B73</f>
        <v>245645.26840686964</v>
      </c>
      <c r="AC73" s="2"/>
      <c r="AD73" s="2">
        <f t="shared" ref="AD73" si="123">D73</f>
        <v>178101.12341799404</v>
      </c>
      <c r="AE73" s="2">
        <f t="shared" ref="AE73" si="124">E73</f>
        <v>118744.9694516748</v>
      </c>
      <c r="AF73" s="2"/>
      <c r="AG73" s="2">
        <f t="shared" ref="AG73" si="125">G73</f>
        <v>92641.797288958172</v>
      </c>
      <c r="AH73" s="2">
        <f t="shared" ref="AH73" si="126">H73</f>
        <v>239936.32016090458</v>
      </c>
      <c r="AI73" s="2">
        <f t="shared" ref="AI73" si="127">SUM(AB73:AH73)</f>
        <v>875069.47872640123</v>
      </c>
      <c r="AJ73" s="2">
        <f t="shared" ref="AJ73" si="128">AI73-I73</f>
        <v>0</v>
      </c>
    </row>
    <row r="74" spans="1:36" x14ac:dyDescent="0.2">
      <c r="A74">
        <f t="shared" ref="A74:A75" si="129">A35</f>
        <v>2019</v>
      </c>
      <c r="B74" s="2">
        <f t="shared" ref="B74:B75" si="130">AB73*(1+(B35/100))</f>
        <v>322915.44403693452</v>
      </c>
      <c r="C74" s="2"/>
      <c r="D74" s="2">
        <f t="shared" ref="D74:E74" si="131">AD73*(1+(D35/100))</f>
        <v>233368.75163257227</v>
      </c>
      <c r="E74" s="2">
        <f t="shared" si="131"/>
        <v>151242.38022139244</v>
      </c>
      <c r="F74" s="2"/>
      <c r="G74" s="2">
        <f t="shared" ref="G74:H74" si="132">AG73*(1+(G35/100))</f>
        <v>112567.1950498673</v>
      </c>
      <c r="H74" s="2">
        <f t="shared" si="132"/>
        <v>260844.3710997258</v>
      </c>
      <c r="I74" s="2">
        <f t="shared" ref="I74:I75" si="133">SUM(B74:H74)</f>
        <v>1080938.1420404923</v>
      </c>
      <c r="J74" s="2">
        <f t="shared" ref="J74:J75" si="134">I74-I73</f>
        <v>205868.66331409104</v>
      </c>
      <c r="K74" s="6">
        <f t="shared" ref="K74:K75" si="135">(J74/I73)</f>
        <v>0.23525979172958658</v>
      </c>
      <c r="L74" s="7">
        <f t="shared" ref="L74:L75" si="136">K74+1</f>
        <v>1.2352597917295867</v>
      </c>
      <c r="O74">
        <f t="shared" ref="O74:O75" si="137">A74</f>
        <v>2019</v>
      </c>
      <c r="P74" s="6">
        <f t="shared" ref="P74:P75" si="138">B74/$I74</f>
        <v>0.2987362842311822</v>
      </c>
      <c r="Q74" s="7"/>
      <c r="R74" s="6">
        <f t="shared" ref="R74:R75" si="139">D74/$I74</f>
        <v>0.21589464054995869</v>
      </c>
      <c r="S74" s="6">
        <f t="shared" ref="S74:S75" si="140">E74/$I74</f>
        <v>0.13991770142914139</v>
      </c>
      <c r="T74" s="7"/>
      <c r="U74" s="6">
        <f t="shared" ref="U74:U75" si="141">G74/$I74</f>
        <v>0.10413842445912182</v>
      </c>
      <c r="V74" s="6">
        <f t="shared" ref="V74:V75" si="142">H74/$I74</f>
        <v>0.24131294933059591</v>
      </c>
      <c r="W74" s="6">
        <f t="shared" ref="W74:W75" si="143">SUM(P74:V74)</f>
        <v>1</v>
      </c>
      <c r="X74" s="7">
        <f t="shared" ref="X74:X75" si="144">SUM(P74:U74)</f>
        <v>0.75868705066940412</v>
      </c>
      <c r="Y74" s="7">
        <f t="shared" ref="Y74:Y75" si="145">W74-(X74+V74)</f>
        <v>0</v>
      </c>
      <c r="Z74" s="24"/>
      <c r="AA74">
        <f t="shared" ref="AA74:AA75" si="146">O74</f>
        <v>2019</v>
      </c>
      <c r="AB74" s="2">
        <f t="shared" ref="AB74:AB75" si="147">B74</f>
        <v>322915.44403693452</v>
      </c>
      <c r="AC74" s="2"/>
      <c r="AD74" s="2">
        <f t="shared" ref="AD74:AD75" si="148">D74</f>
        <v>233368.75163257227</v>
      </c>
      <c r="AE74" s="2">
        <f t="shared" ref="AE74:AE75" si="149">E74</f>
        <v>151242.38022139244</v>
      </c>
      <c r="AF74" s="2"/>
      <c r="AG74" s="2">
        <f t="shared" ref="AG74:AG75" si="150">G74</f>
        <v>112567.1950498673</v>
      </c>
      <c r="AH74" s="2">
        <f t="shared" ref="AH74:AH75" si="151">H74</f>
        <v>260844.3710997258</v>
      </c>
      <c r="AI74" s="2">
        <f t="shared" ref="AI74:AI75" si="152">SUM(AB74:AH74)</f>
        <v>1080938.1420404923</v>
      </c>
      <c r="AJ74" s="2">
        <f t="shared" ref="AJ74:AJ75" si="153">AI74-I74</f>
        <v>0</v>
      </c>
    </row>
    <row r="75" spans="1:36" x14ac:dyDescent="0.2">
      <c r="A75">
        <f t="shared" si="129"/>
        <v>2020</v>
      </c>
      <c r="B75" s="2">
        <f t="shared" si="130"/>
        <v>382235.01110651938</v>
      </c>
      <c r="C75" s="2"/>
      <c r="D75" s="2">
        <f t="shared" ref="D75:E75" si="154">AD74*(1+(D36/100))</f>
        <v>275935.21193035343</v>
      </c>
      <c r="E75" s="2">
        <f t="shared" si="154"/>
        <v>180144.79908170053</v>
      </c>
      <c r="F75" s="2"/>
      <c r="G75" s="2">
        <f t="shared" ref="G75:H75" si="155">AG74*(1+(G36/100))</f>
        <v>125264.77465149233</v>
      </c>
      <c r="H75" s="2">
        <f t="shared" si="155"/>
        <v>280981.55654862459</v>
      </c>
      <c r="I75" s="2">
        <f t="shared" si="133"/>
        <v>1244561.3533186903</v>
      </c>
      <c r="J75" s="2">
        <f t="shared" si="134"/>
        <v>163623.21127819805</v>
      </c>
      <c r="K75" s="6">
        <f t="shared" si="135"/>
        <v>0.15137148456000055</v>
      </c>
      <c r="L75" s="7">
        <f t="shared" si="136"/>
        <v>1.1513714845600005</v>
      </c>
      <c r="O75">
        <f t="shared" si="137"/>
        <v>2020</v>
      </c>
      <c r="P75" s="6">
        <f t="shared" si="138"/>
        <v>0.3071242812475809</v>
      </c>
      <c r="Q75" s="7"/>
      <c r="R75" s="6">
        <f t="shared" si="139"/>
        <v>0.2217128237146021</v>
      </c>
      <c r="S75" s="6">
        <f t="shared" si="140"/>
        <v>0.14474561547434739</v>
      </c>
      <c r="T75" s="7"/>
      <c r="U75" s="6">
        <f t="shared" si="141"/>
        <v>0.10064973841383314</v>
      </c>
      <c r="V75" s="6">
        <f t="shared" si="142"/>
        <v>0.2257675411496364</v>
      </c>
      <c r="W75" s="6">
        <f t="shared" si="143"/>
        <v>0.99999999999999989</v>
      </c>
      <c r="X75" s="7">
        <f t="shared" si="144"/>
        <v>0.77423245885036351</v>
      </c>
      <c r="Y75" s="7">
        <f t="shared" si="145"/>
        <v>0</v>
      </c>
      <c r="Z75" s="24"/>
      <c r="AA75">
        <f t="shared" si="146"/>
        <v>2020</v>
      </c>
      <c r="AB75" s="2">
        <f t="shared" si="147"/>
        <v>382235.01110651938</v>
      </c>
      <c r="AC75" s="2"/>
      <c r="AD75" s="2">
        <f t="shared" si="148"/>
        <v>275935.21193035343</v>
      </c>
      <c r="AE75" s="2">
        <f t="shared" si="149"/>
        <v>180144.79908170053</v>
      </c>
      <c r="AF75" s="2"/>
      <c r="AG75" s="2">
        <f t="shared" si="150"/>
        <v>125264.77465149233</v>
      </c>
      <c r="AH75" s="2">
        <f t="shared" si="151"/>
        <v>280981.55654862459</v>
      </c>
      <c r="AI75" s="2">
        <f t="shared" si="152"/>
        <v>1244561.3533186903</v>
      </c>
      <c r="AJ75" s="2">
        <f t="shared" si="153"/>
        <v>0</v>
      </c>
    </row>
    <row r="76" spans="1:36" x14ac:dyDescent="0.2">
      <c r="A76" s="9" t="s">
        <v>94</v>
      </c>
      <c r="B76" s="10">
        <f>AB75</f>
        <v>382235.01110651938</v>
      </c>
      <c r="C76" s="10"/>
      <c r="D76" s="10">
        <f>AD75</f>
        <v>275935.21193035343</v>
      </c>
      <c r="E76" s="10">
        <f>AE75</f>
        <v>180144.79908170053</v>
      </c>
      <c r="F76" s="10"/>
      <c r="G76" s="10">
        <f>AG75</f>
        <v>125264.77465149233</v>
      </c>
      <c r="H76" s="10">
        <f>AH75</f>
        <v>280981.55654862459</v>
      </c>
      <c r="I76" s="10">
        <f>SUM(B76:H76)</f>
        <v>1244561.3533186903</v>
      </c>
      <c r="J76" s="10"/>
      <c r="K76" s="10"/>
      <c r="O76" s="74" t="s">
        <v>132</v>
      </c>
      <c r="P76" s="88">
        <f>P75</f>
        <v>0.3071242812475809</v>
      </c>
      <c r="Q76" s="74"/>
      <c r="R76" s="88">
        <f>R75</f>
        <v>0.2217128237146021</v>
      </c>
      <c r="S76" s="74"/>
      <c r="T76" s="74"/>
      <c r="U76" s="88">
        <f>U75</f>
        <v>0.10064973841383314</v>
      </c>
      <c r="V76" s="88">
        <f>V75</f>
        <v>0.2257675411496364</v>
      </c>
      <c r="W76" s="88">
        <f>W75</f>
        <v>0.99999999999999989</v>
      </c>
      <c r="X76" s="88">
        <f>X75</f>
        <v>0.77423245885036351</v>
      </c>
      <c r="Y76" s="88">
        <f>Y75</f>
        <v>0</v>
      </c>
    </row>
    <row r="77" spans="1:36" x14ac:dyDescent="0.2">
      <c r="A77" s="11" t="s">
        <v>133</v>
      </c>
      <c r="I77" s="6">
        <f>(I76-I42)/I42</f>
        <v>11.445613533186902</v>
      </c>
      <c r="K77" s="6"/>
      <c r="R77" s="7"/>
    </row>
    <row r="78" spans="1:36" x14ac:dyDescent="0.2">
      <c r="A78" s="1" t="s">
        <v>96</v>
      </c>
      <c r="I78" s="12">
        <f>STDEV(L43:L75)</f>
        <v>0.10951161801354624</v>
      </c>
      <c r="S78" s="89"/>
      <c r="T78" s="89"/>
      <c r="U78" s="90" t="s">
        <v>134</v>
      </c>
      <c r="V78" s="89" t="b">
        <f>IF((V75=V76),TRUE,FALSE)</f>
        <v>1</v>
      </c>
      <c r="W78" s="89"/>
      <c r="X78" s="91" t="b">
        <f>IF(((SUM(P75:U75))=X76),TRUE,FALSE)</f>
        <v>1</v>
      </c>
    </row>
    <row r="79" spans="1:36" x14ac:dyDescent="0.2">
      <c r="A79" s="1" t="s">
        <v>135</v>
      </c>
      <c r="I79" s="13">
        <f>((1+I77)^(1/I84))-1</f>
        <v>7.9399748287157124E-2</v>
      </c>
    </row>
    <row r="80" spans="1:36" x14ac:dyDescent="0.2">
      <c r="A80" s="1" t="s">
        <v>98</v>
      </c>
      <c r="I80" s="31">
        <f>J63</f>
        <v>-148434.77686554572</v>
      </c>
    </row>
    <row r="81" spans="1:9" x14ac:dyDescent="0.2">
      <c r="A81" s="1" t="s">
        <v>136</v>
      </c>
      <c r="I81" s="32">
        <f>K63</f>
        <v>-0.25535334306975577</v>
      </c>
    </row>
    <row r="82" spans="1:9" x14ac:dyDescent="0.2">
      <c r="A82" s="3" t="s">
        <v>137</v>
      </c>
      <c r="I82" s="33">
        <f>I75-I76</f>
        <v>0</v>
      </c>
    </row>
    <row r="83" spans="1:9" x14ac:dyDescent="0.2">
      <c r="A83" s="3" t="s">
        <v>138</v>
      </c>
      <c r="I83" s="33">
        <f>((SUM(J43:J75))-(I76-I42))</f>
        <v>0</v>
      </c>
    </row>
    <row r="84" spans="1:9" x14ac:dyDescent="0.2">
      <c r="A84" s="3" t="s">
        <v>139</v>
      </c>
      <c r="I84" s="3">
        <f>COUNTA(I43:I75)</f>
        <v>33</v>
      </c>
    </row>
    <row r="85" spans="1:9" x14ac:dyDescent="0.2">
      <c r="A85" s="95" t="s">
        <v>100</v>
      </c>
      <c r="B85" s="63"/>
      <c r="C85" s="63"/>
      <c r="D85" s="63"/>
      <c r="E85" s="63"/>
      <c r="G85" s="63"/>
      <c r="H85" s="63"/>
      <c r="I85" s="94">
        <f>X76</f>
        <v>0.77423245885036351</v>
      </c>
    </row>
    <row r="86" spans="1:9" x14ac:dyDescent="0.2">
      <c r="A86" s="95" t="s">
        <v>179</v>
      </c>
      <c r="B86" s="2"/>
      <c r="D86" s="2"/>
      <c r="E86" s="2"/>
      <c r="G86" s="2"/>
      <c r="H86" s="2"/>
      <c r="I86" s="94">
        <f>V76</f>
        <v>0.2257675411496364</v>
      </c>
    </row>
    <row r="87" spans="1:9" x14ac:dyDescent="0.2">
      <c r="I87"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87"/>
  <sheetViews>
    <sheetView topLeftCell="A33" zoomScaleNormal="100" workbookViewId="0">
      <selection activeCell="A74" sqref="A74:XFD75"/>
    </sheetView>
  </sheetViews>
  <sheetFormatPr baseColWidth="10" defaultColWidth="8.83203125" defaultRowHeight="15" x14ac:dyDescent="0.2"/>
  <cols>
    <col min="1" max="1" width="25.5" customWidth="1"/>
    <col min="2" max="2" width="11.6640625" customWidth="1"/>
    <col min="3"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104</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47"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6" spans="1:47"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row>
    <row r="39" spans="1:47" x14ac:dyDescent="0.2">
      <c r="A39" s="20" t="s">
        <v>140</v>
      </c>
      <c r="O39" s="20" t="s">
        <v>141</v>
      </c>
      <c r="AB39" s="20" t="s">
        <v>142</v>
      </c>
      <c r="AL39" s="20" t="s">
        <v>143</v>
      </c>
    </row>
    <row r="40" spans="1:47"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P40" s="4" t="str">
        <f>B40</f>
        <v>LC Stocks</v>
      </c>
      <c r="Q40" s="4" t="str">
        <f t="shared" ref="Q40:V41" si="1">C40</f>
        <v>Ext Mkt</v>
      </c>
      <c r="R40" s="4" t="str">
        <f t="shared" si="1"/>
        <v>Mcap Stk</v>
      </c>
      <c r="S40" s="4" t="str">
        <f t="shared" si="1"/>
        <v>Small Cap</v>
      </c>
      <c r="T40" s="4" t="str">
        <f t="shared" si="1"/>
        <v>Intl Val</v>
      </c>
      <c r="U40" s="4" t="str">
        <f t="shared" si="1"/>
        <v>Tot Int Stk</v>
      </c>
      <c r="V40" s="4" t="str">
        <f t="shared" si="1"/>
        <v>Bonds</v>
      </c>
      <c r="W40" s="5"/>
      <c r="X40" s="5" t="s">
        <v>124</v>
      </c>
      <c r="Y40" s="3" t="s">
        <v>125</v>
      </c>
      <c r="Z40" s="62"/>
      <c r="AC40" s="4" t="str">
        <f t="shared" ref="AC40:AI42" si="2">P40</f>
        <v>LC Stocks</v>
      </c>
      <c r="AD40" s="4" t="str">
        <f t="shared" si="2"/>
        <v>Ext Mkt</v>
      </c>
      <c r="AE40" s="4" t="str">
        <f t="shared" si="2"/>
        <v>Mcap Stk</v>
      </c>
      <c r="AF40" s="4" t="str">
        <f t="shared" si="2"/>
        <v>Small Cap</v>
      </c>
      <c r="AG40" s="4" t="str">
        <f t="shared" si="2"/>
        <v>Intl Val</v>
      </c>
      <c r="AH40" s="4" t="str">
        <f t="shared" si="2"/>
        <v>Tot Int Stk</v>
      </c>
      <c r="AI40" s="4" t="str">
        <f t="shared" si="2"/>
        <v>Bonds</v>
      </c>
      <c r="AJ40" s="5"/>
      <c r="AM40" s="4" t="str">
        <f>AC40</f>
        <v>LC Stocks</v>
      </c>
      <c r="AN40" s="4" t="str">
        <f t="shared" ref="AN40:AT42" si="3">AD40</f>
        <v>Ext Mkt</v>
      </c>
      <c r="AO40" s="4" t="str">
        <f t="shared" si="3"/>
        <v>Mcap Stk</v>
      </c>
      <c r="AP40" s="4" t="str">
        <f t="shared" si="3"/>
        <v>Small Cap</v>
      </c>
      <c r="AQ40" s="4" t="str">
        <f t="shared" si="3"/>
        <v>Intl Val</v>
      </c>
      <c r="AR40" s="4" t="str">
        <f t="shared" si="3"/>
        <v>Tot Int Stk</v>
      </c>
      <c r="AS40" s="4" t="str">
        <f t="shared" si="3"/>
        <v>Bonds</v>
      </c>
      <c r="AT40" s="4"/>
      <c r="AU40" t="s">
        <v>144</v>
      </c>
    </row>
    <row r="41" spans="1:47"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O41" t="s">
        <v>126</v>
      </c>
      <c r="P41" s="4" t="str">
        <f>B41</f>
        <v>VFIAX</v>
      </c>
      <c r="Q41" s="4" t="str">
        <f t="shared" si="1"/>
        <v>VEXMX</v>
      </c>
      <c r="R41" s="4" t="str">
        <f t="shared" si="1"/>
        <v>VIMAX</v>
      </c>
      <c r="S41" s="4" t="str">
        <f t="shared" si="1"/>
        <v>VSMAX</v>
      </c>
      <c r="T41" s="4" t="str">
        <f t="shared" si="1"/>
        <v>VTRIX</v>
      </c>
      <c r="U41" s="4" t="str">
        <f t="shared" si="1"/>
        <v>VTIAX</v>
      </c>
      <c r="V41" s="4" t="str">
        <f t="shared" si="1"/>
        <v>VBTLX</v>
      </c>
      <c r="W41" s="5" t="s">
        <v>67</v>
      </c>
      <c r="X41" s="5" t="s">
        <v>125</v>
      </c>
      <c r="Y41" s="3" t="s">
        <v>129</v>
      </c>
      <c r="Z41" s="62"/>
      <c r="AB41" t="str">
        <f>O41</f>
        <v>Fund</v>
      </c>
      <c r="AC41" s="4" t="str">
        <f t="shared" si="2"/>
        <v>VFIAX</v>
      </c>
      <c r="AD41" s="4" t="str">
        <f t="shared" si="2"/>
        <v>VEXMX</v>
      </c>
      <c r="AE41" s="4" t="str">
        <f t="shared" si="2"/>
        <v>VIMAX</v>
      </c>
      <c r="AF41" s="4" t="str">
        <f t="shared" si="2"/>
        <v>VSMAX</v>
      </c>
      <c r="AG41" s="4" t="str">
        <f t="shared" si="2"/>
        <v>VTRIX</v>
      </c>
      <c r="AH41" s="4" t="str">
        <f t="shared" si="2"/>
        <v>VTIAX</v>
      </c>
      <c r="AI41" s="4" t="str">
        <f t="shared" si="2"/>
        <v>VBTLX</v>
      </c>
      <c r="AJ41" s="4" t="str">
        <f>W41</f>
        <v>Total</v>
      </c>
      <c r="AL41" t="s">
        <v>126</v>
      </c>
      <c r="AM41" s="4" t="str">
        <f>AC41</f>
        <v>VFIAX</v>
      </c>
      <c r="AN41" s="4" t="str">
        <f t="shared" si="3"/>
        <v>VEXMX</v>
      </c>
      <c r="AO41" s="4" t="str">
        <f t="shared" si="3"/>
        <v>VIMAX</v>
      </c>
      <c r="AP41" s="4" t="str">
        <f t="shared" si="3"/>
        <v>VSMAX</v>
      </c>
      <c r="AQ41" s="4" t="str">
        <f t="shared" si="3"/>
        <v>VTRIX</v>
      </c>
      <c r="AR41" s="4" t="str">
        <f t="shared" si="3"/>
        <v>VTIAX</v>
      </c>
      <c r="AS41" s="4" t="str">
        <f t="shared" si="3"/>
        <v>VBTLX</v>
      </c>
      <c r="AT41" s="4" t="str">
        <f t="shared" si="3"/>
        <v>Total</v>
      </c>
      <c r="AU41" t="s">
        <v>129</v>
      </c>
    </row>
    <row r="42" spans="1:47" x14ac:dyDescent="0.2">
      <c r="A42" t="s">
        <v>130</v>
      </c>
      <c r="B42" s="2">
        <v>60000</v>
      </c>
      <c r="C42" s="2">
        <v>0</v>
      </c>
      <c r="F42" s="2">
        <v>0</v>
      </c>
      <c r="H42" s="2">
        <v>40000</v>
      </c>
      <c r="I42" s="2">
        <f>SUM(B42:H42)</f>
        <v>100000</v>
      </c>
      <c r="O42" s="21" t="s">
        <v>131</v>
      </c>
      <c r="P42" s="22">
        <f>B42/$I42</f>
        <v>0.6</v>
      </c>
      <c r="Q42" s="22">
        <f>C42/$I42</f>
        <v>0</v>
      </c>
      <c r="R42" s="56">
        <v>0</v>
      </c>
      <c r="S42" s="56">
        <v>0</v>
      </c>
      <c r="T42" s="22">
        <f>F42/$I42</f>
        <v>0</v>
      </c>
      <c r="U42" s="56">
        <v>0</v>
      </c>
      <c r="V42" s="22">
        <f>H42/$I42</f>
        <v>0.4</v>
      </c>
      <c r="W42" s="22">
        <f>I42/$I42</f>
        <v>1</v>
      </c>
      <c r="X42" s="24"/>
      <c r="Z42" s="22"/>
      <c r="AB42" s="21" t="str">
        <f>O42</f>
        <v>Target Allocation</v>
      </c>
      <c r="AC42" s="24">
        <f t="shared" si="2"/>
        <v>0.6</v>
      </c>
      <c r="AD42" s="24">
        <f t="shared" si="2"/>
        <v>0</v>
      </c>
      <c r="AE42" s="25">
        <f t="shared" si="2"/>
        <v>0</v>
      </c>
      <c r="AF42" s="25">
        <f t="shared" si="2"/>
        <v>0</v>
      </c>
      <c r="AG42" s="24">
        <f t="shared" si="2"/>
        <v>0</v>
      </c>
      <c r="AH42" s="25">
        <f t="shared" si="2"/>
        <v>0</v>
      </c>
      <c r="AI42" s="24">
        <f t="shared" si="2"/>
        <v>0.4</v>
      </c>
      <c r="AJ42" s="24">
        <f>W42</f>
        <v>1</v>
      </c>
      <c r="AL42" s="21" t="str">
        <f>AB42</f>
        <v>Target Allocation</v>
      </c>
      <c r="AM42" s="24">
        <f>AC42</f>
        <v>0.6</v>
      </c>
      <c r="AN42" s="24">
        <f t="shared" si="3"/>
        <v>0</v>
      </c>
      <c r="AO42" s="25">
        <f t="shared" si="3"/>
        <v>0</v>
      </c>
      <c r="AP42" s="25">
        <f t="shared" si="3"/>
        <v>0</v>
      </c>
      <c r="AQ42" s="24">
        <f t="shared" si="3"/>
        <v>0</v>
      </c>
      <c r="AR42" s="25">
        <f t="shared" si="3"/>
        <v>0</v>
      </c>
      <c r="AS42" s="24">
        <f t="shared" si="3"/>
        <v>0.4</v>
      </c>
      <c r="AT42" s="24">
        <f t="shared" si="3"/>
        <v>1</v>
      </c>
      <c r="AU42" s="2"/>
    </row>
    <row r="43" spans="1:47" x14ac:dyDescent="0.2">
      <c r="A43">
        <f t="shared" ref="A43:A73" si="4">A4</f>
        <v>1988</v>
      </c>
      <c r="B43" s="2">
        <f>B42*(1+(B4/100))</f>
        <v>69732</v>
      </c>
      <c r="C43" s="2">
        <f>C42*(1+(C4/100))</f>
        <v>0</v>
      </c>
      <c r="D43" s="2"/>
      <c r="E43" s="2"/>
      <c r="F43" s="2">
        <f>F42*(1+(F4/100))</f>
        <v>0</v>
      </c>
      <c r="G43" s="2"/>
      <c r="H43" s="2">
        <f>H42*(1+(H4/100))</f>
        <v>42939.999999999993</v>
      </c>
      <c r="I43" s="2">
        <f>SUM(B43:H43)</f>
        <v>112672</v>
      </c>
      <c r="J43" s="2">
        <f>I43-I42</f>
        <v>12672</v>
      </c>
      <c r="K43" s="6">
        <f>(J43/I42)</f>
        <v>0.12672</v>
      </c>
      <c r="L43" s="7">
        <f>K43+1</f>
        <v>1.1267199999999999</v>
      </c>
      <c r="O43">
        <f>A43</f>
        <v>1988</v>
      </c>
      <c r="P43" s="6">
        <f t="shared" ref="P43:U67" si="5">B43/$I43</f>
        <v>0.61889378017608632</v>
      </c>
      <c r="Q43" s="6">
        <f t="shared" si="5"/>
        <v>0</v>
      </c>
      <c r="R43" s="7"/>
      <c r="S43" s="7"/>
      <c r="T43" s="6">
        <f t="shared" ref="T43:T51" si="6">F43/$I43</f>
        <v>0</v>
      </c>
      <c r="U43" s="7"/>
      <c r="V43" s="6">
        <f t="shared" ref="V43:V72" si="7">H43/$I43</f>
        <v>0.38110621982391357</v>
      </c>
      <c r="W43" s="6">
        <f>SUM(P43:V43)</f>
        <v>0.99999999999999989</v>
      </c>
      <c r="X43" s="7">
        <f>SUM(P43:U43)</f>
        <v>0.61889378017608632</v>
      </c>
      <c r="Y43" s="7">
        <f>W43-(X43+V43)</f>
        <v>0</v>
      </c>
      <c r="Z43" s="6"/>
      <c r="AB43">
        <f>O43</f>
        <v>1988</v>
      </c>
      <c r="AC43" s="1" t="b">
        <f>AND((B43/$I43)&gt;0.15,(B43/$I43)&lt;0.25)</f>
        <v>0</v>
      </c>
      <c r="AD43" s="1" t="b">
        <f>AND((C43/$I43)&gt;0.25,(C43/$I43)&lt;0.35)</f>
        <v>0</v>
      </c>
      <c r="AG43" s="1" t="b">
        <f t="shared" ref="AG43:AG51" si="8">AND((F43/$I43)&gt;0.15,(F43/$I43)&lt;0.25)</f>
        <v>0</v>
      </c>
      <c r="AI43" s="1" t="b">
        <f>AND((H43/$I43)&gt;0.25,(H43/$I43)&lt;0.35)</f>
        <v>0</v>
      </c>
      <c r="AJ43" s="1" t="b">
        <f>AND((I43/$I43)&gt;0.999,(I43/$I43)&lt;1.01)</f>
        <v>1</v>
      </c>
      <c r="AL43">
        <f>A43</f>
        <v>1988</v>
      </c>
      <c r="AM43" s="2">
        <f t="shared" ref="AM43:AN53" si="9">$I43*AM$42</f>
        <v>67603.199999999997</v>
      </c>
      <c r="AN43" s="2">
        <f t="shared" si="9"/>
        <v>0</v>
      </c>
      <c r="AO43" s="2"/>
      <c r="AP43" s="2"/>
      <c r="AQ43" s="2">
        <f t="shared" ref="AQ43:AQ52" si="10">$I43*AQ$42</f>
        <v>0</v>
      </c>
      <c r="AR43" s="2"/>
      <c r="AS43" s="2">
        <f t="shared" ref="AS43:AS54" si="11">$I43*AS$42</f>
        <v>45068.800000000003</v>
      </c>
      <c r="AT43" s="2">
        <f>SUM(AM43:AS43)</f>
        <v>112672</v>
      </c>
      <c r="AU43" s="2">
        <f>AT43-I43</f>
        <v>0</v>
      </c>
    </row>
    <row r="44" spans="1:47" x14ac:dyDescent="0.2">
      <c r="A44">
        <f t="shared" si="4"/>
        <v>1989</v>
      </c>
      <c r="B44" s="2">
        <f t="shared" ref="B44:B53" si="12">AM43*(1+(B5/100))</f>
        <v>88803.563519999996</v>
      </c>
      <c r="C44" s="2">
        <f t="shared" ref="C44:C53" si="13">AN43*(1+(C5/100))</f>
        <v>0</v>
      </c>
      <c r="D44" s="2"/>
      <c r="E44" s="2"/>
      <c r="F44" s="2">
        <f t="shared" ref="F44:F51" si="14">AQ43*(1+(F5/100))</f>
        <v>0</v>
      </c>
      <c r="G44" s="2"/>
      <c r="H44" s="2">
        <f t="shared" ref="H44:H73" si="15">AS43*(1+(H5/100))</f>
        <v>51216.184320000008</v>
      </c>
      <c r="I44" s="2">
        <f t="shared" ref="I44:I72" si="16">SUM(B44:H44)</f>
        <v>140019.74784</v>
      </c>
      <c r="J44" s="2">
        <f t="shared" ref="J44:J72" si="17">I44-I43</f>
        <v>27347.747839999996</v>
      </c>
      <c r="K44" s="6">
        <f t="shared" ref="K44:K72" si="18">(J44/I43)</f>
        <v>0.24271999999999996</v>
      </c>
      <c r="L44" s="7">
        <f t="shared" ref="L44:L72" si="19">K44+1</f>
        <v>1.24272</v>
      </c>
      <c r="O44">
        <f t="shared" ref="O44:O72" si="20">A44</f>
        <v>1989</v>
      </c>
      <c r="P44" s="6">
        <f t="shared" si="5"/>
        <v>0.63422170722286597</v>
      </c>
      <c r="Q44" s="6">
        <f t="shared" si="5"/>
        <v>0</v>
      </c>
      <c r="R44" s="7"/>
      <c r="S44" s="7"/>
      <c r="T44" s="6">
        <f t="shared" si="6"/>
        <v>0</v>
      </c>
      <c r="U44" s="7"/>
      <c r="V44" s="6">
        <f t="shared" si="7"/>
        <v>0.36577829277713408</v>
      </c>
      <c r="W44" s="6">
        <f t="shared" ref="W44:W69" si="21">SUM(P44:V44)</f>
        <v>1</v>
      </c>
      <c r="X44" s="7">
        <f t="shared" ref="X44:X72" si="22">SUM(P44:U44)</f>
        <v>0.63422170722286597</v>
      </c>
      <c r="Y44" s="7">
        <f t="shared" ref="Y44:Y72" si="23">W44-(X44+V44)</f>
        <v>0</v>
      </c>
      <c r="Z44" s="6"/>
      <c r="AB44">
        <f t="shared" ref="AB44:AB72" si="24">O44</f>
        <v>1989</v>
      </c>
      <c r="AC44" s="1" t="b">
        <f t="shared" ref="AC44:AC72" si="25">AND((B44/$I44)&gt;0.15,(B44/$I44)&lt;0.25)</f>
        <v>0</v>
      </c>
      <c r="AD44" s="1" t="b">
        <f t="shared" ref="AD44:AD53" si="26">AND((C44/$I44)&gt;0.25,(C44/$I44)&lt;0.35)</f>
        <v>0</v>
      </c>
      <c r="AG44" s="1" t="b">
        <f t="shared" si="8"/>
        <v>0</v>
      </c>
      <c r="AI44" s="1" t="b">
        <f t="shared" ref="AI44:AI72" si="27">AND((H44/$I44)&gt;0.25,(H44/$I44)&lt;0.35)</f>
        <v>0</v>
      </c>
      <c r="AJ44" s="1" t="b">
        <f t="shared" ref="AJ44:AJ72" si="28">AND((I44/$I44)&gt;0.999,(I44/$I44)&lt;1.01)</f>
        <v>1</v>
      </c>
      <c r="AL44">
        <f t="shared" ref="AL44:AL72" si="29">A44</f>
        <v>1989</v>
      </c>
      <c r="AM44" s="2">
        <f t="shared" si="9"/>
        <v>84011.848703999989</v>
      </c>
      <c r="AN44" s="2">
        <f t="shared" si="9"/>
        <v>0</v>
      </c>
      <c r="AO44" s="2"/>
      <c r="AP44" s="2"/>
      <c r="AQ44" s="2">
        <f t="shared" si="10"/>
        <v>0</v>
      </c>
      <c r="AR44" s="2"/>
      <c r="AS44" s="2">
        <f t="shared" si="11"/>
        <v>56007.899136</v>
      </c>
      <c r="AT44" s="2">
        <f t="shared" ref="AT44:AT72" si="30">I44</f>
        <v>140019.74784</v>
      </c>
      <c r="AU44" s="2">
        <f t="shared" ref="AU44:AU72" si="31">AT44-I44</f>
        <v>0</v>
      </c>
    </row>
    <row r="45" spans="1:47" x14ac:dyDescent="0.2">
      <c r="A45">
        <f t="shared" si="4"/>
        <v>1990</v>
      </c>
      <c r="B45" s="2">
        <f t="shared" si="12"/>
        <v>81222.655327027183</v>
      </c>
      <c r="C45" s="2">
        <f t="shared" si="13"/>
        <v>0</v>
      </c>
      <c r="D45" s="2"/>
      <c r="E45" s="2"/>
      <c r="F45" s="2">
        <f t="shared" si="14"/>
        <v>0</v>
      </c>
      <c r="G45" s="2"/>
      <c r="H45" s="2">
        <f t="shared" si="15"/>
        <v>60852.582411264004</v>
      </c>
      <c r="I45" s="2">
        <f t="shared" si="16"/>
        <v>142075.23773829118</v>
      </c>
      <c r="J45" s="2">
        <f t="shared" si="17"/>
        <v>2055.4898982911836</v>
      </c>
      <c r="K45" s="6">
        <f t="shared" si="18"/>
        <v>1.4679999999999884E-2</v>
      </c>
      <c r="L45" s="7">
        <f t="shared" si="19"/>
        <v>1.0146799999999998</v>
      </c>
      <c r="O45">
        <f t="shared" si="20"/>
        <v>1990</v>
      </c>
      <c r="P45" s="6">
        <f t="shared" si="5"/>
        <v>0.57168762565537901</v>
      </c>
      <c r="Q45" s="6">
        <f t="shared" si="5"/>
        <v>0</v>
      </c>
      <c r="R45" s="7"/>
      <c r="S45" s="7"/>
      <c r="T45" s="6">
        <f t="shared" si="6"/>
        <v>0</v>
      </c>
      <c r="U45" s="7"/>
      <c r="V45" s="6">
        <f t="shared" si="7"/>
        <v>0.42831237434462105</v>
      </c>
      <c r="W45" s="6">
        <f t="shared" si="21"/>
        <v>1</v>
      </c>
      <c r="X45" s="7">
        <f t="shared" si="22"/>
        <v>0.57168762565537901</v>
      </c>
      <c r="Y45" s="7">
        <f t="shared" si="23"/>
        <v>0</v>
      </c>
      <c r="Z45" s="6"/>
      <c r="AB45">
        <f t="shared" si="24"/>
        <v>1990</v>
      </c>
      <c r="AC45" s="1" t="b">
        <f t="shared" si="25"/>
        <v>0</v>
      </c>
      <c r="AD45" s="1" t="b">
        <f t="shared" si="26"/>
        <v>0</v>
      </c>
      <c r="AG45" s="1" t="b">
        <f t="shared" si="8"/>
        <v>0</v>
      </c>
      <c r="AI45" s="1" t="b">
        <f t="shared" si="27"/>
        <v>0</v>
      </c>
      <c r="AJ45" s="1" t="b">
        <f t="shared" si="28"/>
        <v>1</v>
      </c>
      <c r="AL45">
        <f t="shared" si="29"/>
        <v>1990</v>
      </c>
      <c r="AM45" s="2">
        <f t="shared" si="9"/>
        <v>85245.142642974708</v>
      </c>
      <c r="AN45" s="2">
        <f t="shared" si="9"/>
        <v>0</v>
      </c>
      <c r="AO45" s="2"/>
      <c r="AP45" s="2"/>
      <c r="AQ45" s="2">
        <f t="shared" si="10"/>
        <v>0</v>
      </c>
      <c r="AR45" s="2"/>
      <c r="AS45" s="2">
        <f t="shared" si="11"/>
        <v>56830.095095316472</v>
      </c>
      <c r="AT45" s="2">
        <f t="shared" si="30"/>
        <v>142075.23773829118</v>
      </c>
      <c r="AU45" s="2">
        <f t="shared" si="31"/>
        <v>0</v>
      </c>
    </row>
    <row r="46" spans="1:47" x14ac:dyDescent="0.2">
      <c r="A46">
        <f t="shared" si="4"/>
        <v>1991</v>
      </c>
      <c r="B46" s="2">
        <f t="shared" si="12"/>
        <v>111006.22474968167</v>
      </c>
      <c r="C46" s="2">
        <f t="shared" si="13"/>
        <v>0</v>
      </c>
      <c r="D46" s="2"/>
      <c r="E46" s="2"/>
      <c r="F46" s="2">
        <f t="shared" si="14"/>
        <v>0</v>
      </c>
      <c r="G46" s="2"/>
      <c r="H46" s="2">
        <f t="shared" si="15"/>
        <v>65496.684597352236</v>
      </c>
      <c r="I46" s="2">
        <f t="shared" si="16"/>
        <v>176502.90934703391</v>
      </c>
      <c r="J46" s="2">
        <f t="shared" si="17"/>
        <v>34427.671608742734</v>
      </c>
      <c r="K46" s="6">
        <f t="shared" si="18"/>
        <v>0.24232000000000012</v>
      </c>
      <c r="L46" s="7">
        <f t="shared" si="19"/>
        <v>1.2423200000000001</v>
      </c>
      <c r="O46">
        <f t="shared" si="20"/>
        <v>1991</v>
      </c>
      <c r="P46" s="6">
        <f t="shared" si="5"/>
        <v>0.62892008500225383</v>
      </c>
      <c r="Q46" s="6">
        <f t="shared" si="5"/>
        <v>0</v>
      </c>
      <c r="R46" s="7"/>
      <c r="S46" s="7"/>
      <c r="T46" s="6">
        <f t="shared" si="6"/>
        <v>0</v>
      </c>
      <c r="U46" s="7"/>
      <c r="V46" s="6">
        <f t="shared" si="7"/>
        <v>0.37107991499774612</v>
      </c>
      <c r="W46" s="6">
        <f t="shared" si="21"/>
        <v>1</v>
      </c>
      <c r="X46" s="7">
        <f t="shared" si="22"/>
        <v>0.62892008500225383</v>
      </c>
      <c r="Y46" s="7">
        <f t="shared" si="23"/>
        <v>0</v>
      </c>
      <c r="Z46" s="6"/>
      <c r="AB46">
        <f t="shared" si="24"/>
        <v>1991</v>
      </c>
      <c r="AC46" s="1" t="b">
        <f t="shared" si="25"/>
        <v>0</v>
      </c>
      <c r="AD46" s="1" t="b">
        <f t="shared" si="26"/>
        <v>0</v>
      </c>
      <c r="AG46" s="1" t="b">
        <f t="shared" si="8"/>
        <v>0</v>
      </c>
      <c r="AI46" s="1" t="b">
        <f t="shared" si="27"/>
        <v>0</v>
      </c>
      <c r="AJ46" s="1" t="b">
        <f t="shared" si="28"/>
        <v>1</v>
      </c>
      <c r="AL46">
        <f t="shared" si="29"/>
        <v>1991</v>
      </c>
      <c r="AM46" s="2">
        <f t="shared" si="9"/>
        <v>105901.74560822034</v>
      </c>
      <c r="AN46" s="2">
        <f t="shared" si="9"/>
        <v>0</v>
      </c>
      <c r="AO46" s="2"/>
      <c r="AP46" s="2"/>
      <c r="AQ46" s="2">
        <f t="shared" si="10"/>
        <v>0</v>
      </c>
      <c r="AR46" s="2"/>
      <c r="AS46" s="2">
        <f t="shared" si="11"/>
        <v>70601.163738813571</v>
      </c>
      <c r="AT46" s="2">
        <f t="shared" si="30"/>
        <v>176502.90934703391</v>
      </c>
      <c r="AU46" s="2">
        <f t="shared" si="31"/>
        <v>0</v>
      </c>
    </row>
    <row r="47" spans="1:47" x14ac:dyDescent="0.2">
      <c r="A47">
        <f t="shared" si="4"/>
        <v>1992</v>
      </c>
      <c r="B47" s="2">
        <f t="shared" si="12"/>
        <v>113759.65513235029</v>
      </c>
      <c r="C47" s="2">
        <f t="shared" si="13"/>
        <v>0</v>
      </c>
      <c r="D47" s="2"/>
      <c r="E47" s="2"/>
      <c r="F47" s="2">
        <f t="shared" si="14"/>
        <v>0</v>
      </c>
      <c r="G47" s="2"/>
      <c r="H47" s="2">
        <f t="shared" si="15"/>
        <v>75642.086829764856</v>
      </c>
      <c r="I47" s="2">
        <f t="shared" si="16"/>
        <v>189401.74196211516</v>
      </c>
      <c r="J47" s="2">
        <f t="shared" si="17"/>
        <v>12898.83261508125</v>
      </c>
      <c r="K47" s="6">
        <f t="shared" si="18"/>
        <v>7.3080000000000062E-2</v>
      </c>
      <c r="L47" s="7">
        <f t="shared" si="19"/>
        <v>1.07308</v>
      </c>
      <c r="O47">
        <f t="shared" si="20"/>
        <v>1992</v>
      </c>
      <c r="P47" s="6">
        <f t="shared" si="5"/>
        <v>0.60062623476348453</v>
      </c>
      <c r="Q47" s="6">
        <f t="shared" si="5"/>
        <v>0</v>
      </c>
      <c r="R47" s="7"/>
      <c r="S47" s="7"/>
      <c r="T47" s="38">
        <f t="shared" si="6"/>
        <v>0</v>
      </c>
      <c r="U47" s="7"/>
      <c r="V47" s="6">
        <f t="shared" si="7"/>
        <v>0.39937376523651541</v>
      </c>
      <c r="W47" s="6">
        <f t="shared" si="21"/>
        <v>1</v>
      </c>
      <c r="X47" s="7">
        <f t="shared" si="22"/>
        <v>0.60062623476348453</v>
      </c>
      <c r="Y47" s="7">
        <f t="shared" si="23"/>
        <v>0</v>
      </c>
      <c r="Z47" s="6"/>
      <c r="AB47">
        <f t="shared" si="24"/>
        <v>1992</v>
      </c>
      <c r="AC47" s="1" t="b">
        <f t="shared" si="25"/>
        <v>0</v>
      </c>
      <c r="AD47" s="1" t="b">
        <f t="shared" si="26"/>
        <v>0</v>
      </c>
      <c r="AG47" s="39" t="b">
        <f t="shared" si="8"/>
        <v>0</v>
      </c>
      <c r="AI47" s="1" t="b">
        <f t="shared" si="27"/>
        <v>0</v>
      </c>
      <c r="AJ47" s="1" t="b">
        <f t="shared" si="28"/>
        <v>1</v>
      </c>
      <c r="AL47">
        <f t="shared" si="29"/>
        <v>1992</v>
      </c>
      <c r="AM47" s="2">
        <f t="shared" si="9"/>
        <v>113641.0451772691</v>
      </c>
      <c r="AN47" s="2">
        <f t="shared" si="9"/>
        <v>0</v>
      </c>
      <c r="AO47" s="2"/>
      <c r="AP47" s="2"/>
      <c r="AQ47" s="2">
        <f t="shared" si="10"/>
        <v>0</v>
      </c>
      <c r="AR47" s="2"/>
      <c r="AS47" s="2">
        <f t="shared" si="11"/>
        <v>75760.696784846063</v>
      </c>
      <c r="AT47" s="2">
        <f t="shared" si="30"/>
        <v>189401.74196211516</v>
      </c>
      <c r="AU47" s="2">
        <f t="shared" si="31"/>
        <v>0</v>
      </c>
    </row>
    <row r="48" spans="1:47" x14ac:dyDescent="0.2">
      <c r="A48">
        <f t="shared" si="4"/>
        <v>1993</v>
      </c>
      <c r="B48" s="2">
        <f t="shared" si="12"/>
        <v>124880.14454530101</v>
      </c>
      <c r="C48" s="2">
        <f t="shared" si="13"/>
        <v>0</v>
      </c>
      <c r="D48" s="2"/>
      <c r="E48" s="2"/>
      <c r="F48" s="2">
        <f t="shared" si="14"/>
        <v>0</v>
      </c>
      <c r="G48" s="2"/>
      <c r="H48" s="2">
        <f t="shared" si="15"/>
        <v>83094.332233619163</v>
      </c>
      <c r="I48" s="2">
        <f t="shared" si="16"/>
        <v>207974.47677892016</v>
      </c>
      <c r="J48" s="2">
        <f t="shared" si="17"/>
        <v>18572.734816804994</v>
      </c>
      <c r="K48" s="6">
        <f t="shared" si="18"/>
        <v>9.8059999999999897E-2</v>
      </c>
      <c r="L48" s="7">
        <f t="shared" si="19"/>
        <v>1.0980599999999998</v>
      </c>
      <c r="O48">
        <f t="shared" si="20"/>
        <v>1993</v>
      </c>
      <c r="P48" s="6">
        <f t="shared" si="5"/>
        <v>0.60045899131195024</v>
      </c>
      <c r="Q48" s="6">
        <f t="shared" si="5"/>
        <v>0</v>
      </c>
      <c r="R48" s="7"/>
      <c r="S48" s="7"/>
      <c r="T48" s="6">
        <f t="shared" si="6"/>
        <v>0</v>
      </c>
      <c r="U48" s="7"/>
      <c r="V48" s="6">
        <f t="shared" si="7"/>
        <v>0.39954100868804987</v>
      </c>
      <c r="W48" s="6">
        <f t="shared" si="21"/>
        <v>1</v>
      </c>
      <c r="X48" s="7">
        <f t="shared" si="22"/>
        <v>0.60045899131195024</v>
      </c>
      <c r="Y48" s="7">
        <f t="shared" si="23"/>
        <v>0</v>
      </c>
      <c r="Z48" s="6"/>
      <c r="AB48">
        <f t="shared" si="24"/>
        <v>1993</v>
      </c>
      <c r="AC48" s="1" t="b">
        <f t="shared" si="25"/>
        <v>0</v>
      </c>
      <c r="AD48" s="1" t="b">
        <f t="shared" si="26"/>
        <v>0</v>
      </c>
      <c r="AG48" s="1" t="b">
        <f t="shared" si="8"/>
        <v>0</v>
      </c>
      <c r="AI48" s="1" t="b">
        <f t="shared" si="27"/>
        <v>0</v>
      </c>
      <c r="AJ48" s="1" t="b">
        <f t="shared" si="28"/>
        <v>1</v>
      </c>
      <c r="AL48">
        <f t="shared" si="29"/>
        <v>1993</v>
      </c>
      <c r="AM48" s="2">
        <f t="shared" si="9"/>
        <v>124784.68606735209</v>
      </c>
      <c r="AN48" s="2">
        <f t="shared" si="9"/>
        <v>0</v>
      </c>
      <c r="AO48" s="2"/>
      <c r="AP48" s="2"/>
      <c r="AQ48" s="2">
        <f t="shared" si="10"/>
        <v>0</v>
      </c>
      <c r="AR48" s="2"/>
      <c r="AS48" s="2">
        <f t="shared" si="11"/>
        <v>83189.790711568072</v>
      </c>
      <c r="AT48" s="2">
        <f t="shared" si="30"/>
        <v>207974.47677892016</v>
      </c>
      <c r="AU48" s="2">
        <f t="shared" si="31"/>
        <v>0</v>
      </c>
    </row>
    <row r="49" spans="1:47" x14ac:dyDescent="0.2">
      <c r="A49">
        <f t="shared" si="4"/>
        <v>1994</v>
      </c>
      <c r="B49" s="2">
        <f t="shared" si="12"/>
        <v>126257.14536294685</v>
      </c>
      <c r="C49" s="2">
        <f t="shared" si="13"/>
        <v>0</v>
      </c>
      <c r="D49" s="2"/>
      <c r="E49" s="2"/>
      <c r="F49" s="2">
        <f t="shared" si="14"/>
        <v>0</v>
      </c>
      <c r="G49" s="2"/>
      <c r="H49" s="2">
        <f t="shared" si="15"/>
        <v>80976.942278640359</v>
      </c>
      <c r="I49" s="2">
        <f t="shared" si="16"/>
        <v>207234.08764158719</v>
      </c>
      <c r="J49" s="2">
        <f t="shared" si="17"/>
        <v>-740.38913733296795</v>
      </c>
      <c r="K49" s="6">
        <f t="shared" si="18"/>
        <v>-3.5600000000000588E-3</v>
      </c>
      <c r="L49" s="7">
        <f t="shared" si="19"/>
        <v>0.99643999999999999</v>
      </c>
      <c r="O49">
        <f t="shared" si="20"/>
        <v>1994</v>
      </c>
      <c r="P49" s="6">
        <f t="shared" si="5"/>
        <v>0.60924892617719084</v>
      </c>
      <c r="Q49" s="6">
        <f t="shared" si="5"/>
        <v>0</v>
      </c>
      <c r="R49" s="7"/>
      <c r="S49" s="7"/>
      <c r="T49" s="6">
        <f t="shared" si="6"/>
        <v>0</v>
      </c>
      <c r="U49" s="7"/>
      <c r="V49" s="6">
        <f t="shared" si="7"/>
        <v>0.39075107382280927</v>
      </c>
      <c r="W49" s="6">
        <f t="shared" si="21"/>
        <v>1</v>
      </c>
      <c r="X49" s="7">
        <f t="shared" si="22"/>
        <v>0.60924892617719084</v>
      </c>
      <c r="Y49" s="7">
        <f t="shared" si="23"/>
        <v>0</v>
      </c>
      <c r="Z49" s="6"/>
      <c r="AB49">
        <f t="shared" si="24"/>
        <v>1994</v>
      </c>
      <c r="AC49" s="1" t="b">
        <f t="shared" si="25"/>
        <v>0</v>
      </c>
      <c r="AD49" s="1" t="b">
        <f t="shared" si="26"/>
        <v>0</v>
      </c>
      <c r="AG49" s="1" t="b">
        <f t="shared" si="8"/>
        <v>0</v>
      </c>
      <c r="AI49" s="1" t="b">
        <f t="shared" si="27"/>
        <v>0</v>
      </c>
      <c r="AJ49" s="1" t="b">
        <f t="shared" si="28"/>
        <v>1</v>
      </c>
      <c r="AL49">
        <f t="shared" si="29"/>
        <v>1994</v>
      </c>
      <c r="AM49" s="2">
        <f t="shared" si="9"/>
        <v>124340.45258495231</v>
      </c>
      <c r="AN49" s="2">
        <f t="shared" si="9"/>
        <v>0</v>
      </c>
      <c r="AO49" s="2"/>
      <c r="AP49" s="2"/>
      <c r="AQ49" s="2">
        <f t="shared" si="10"/>
        <v>0</v>
      </c>
      <c r="AR49" s="2"/>
      <c r="AS49" s="2">
        <f t="shared" si="11"/>
        <v>82893.635056634885</v>
      </c>
      <c r="AT49" s="2">
        <f t="shared" si="30"/>
        <v>207234.08764158719</v>
      </c>
      <c r="AU49" s="2">
        <f t="shared" si="31"/>
        <v>0</v>
      </c>
    </row>
    <row r="50" spans="1:47" x14ac:dyDescent="0.2">
      <c r="A50">
        <f t="shared" si="4"/>
        <v>1995</v>
      </c>
      <c r="B50" s="2">
        <f t="shared" si="12"/>
        <v>170905.95207801694</v>
      </c>
      <c r="C50" s="2">
        <f t="shared" si="13"/>
        <v>0</v>
      </c>
      <c r="D50" s="2"/>
      <c r="E50" s="2"/>
      <c r="F50" s="2">
        <f t="shared" si="14"/>
        <v>0</v>
      </c>
      <c r="G50" s="2"/>
      <c r="H50" s="2">
        <f t="shared" si="15"/>
        <v>97963.697909931099</v>
      </c>
      <c r="I50" s="2">
        <f t="shared" si="16"/>
        <v>268869.64998794801</v>
      </c>
      <c r="J50" s="2">
        <f t="shared" si="17"/>
        <v>61635.562346360821</v>
      </c>
      <c r="K50" s="6">
        <f t="shared" si="18"/>
        <v>0.2974199999999998</v>
      </c>
      <c r="L50" s="7">
        <f t="shared" si="19"/>
        <v>1.2974199999999998</v>
      </c>
      <c r="O50">
        <f t="shared" si="20"/>
        <v>1995</v>
      </c>
      <c r="P50" s="6">
        <f t="shared" si="5"/>
        <v>0.63564612847034885</v>
      </c>
      <c r="Q50" s="6">
        <f t="shared" si="5"/>
        <v>0</v>
      </c>
      <c r="R50" s="7"/>
      <c r="S50" s="7"/>
      <c r="T50" s="6">
        <f t="shared" si="6"/>
        <v>0</v>
      </c>
      <c r="U50" s="7"/>
      <c r="V50" s="6">
        <f t="shared" si="7"/>
        <v>0.36435387152965121</v>
      </c>
      <c r="W50" s="6">
        <f t="shared" si="21"/>
        <v>1</v>
      </c>
      <c r="X50" s="7">
        <f t="shared" si="22"/>
        <v>0.63564612847034885</v>
      </c>
      <c r="Y50" s="7">
        <f t="shared" si="23"/>
        <v>0</v>
      </c>
      <c r="Z50" s="6"/>
      <c r="AB50">
        <f t="shared" si="24"/>
        <v>1995</v>
      </c>
      <c r="AC50" s="1" t="b">
        <f t="shared" si="25"/>
        <v>0</v>
      </c>
      <c r="AD50" s="1" t="b">
        <f t="shared" si="26"/>
        <v>0</v>
      </c>
      <c r="AG50" s="1" t="b">
        <f t="shared" si="8"/>
        <v>0</v>
      </c>
      <c r="AI50" s="1" t="b">
        <f t="shared" si="27"/>
        <v>0</v>
      </c>
      <c r="AJ50" s="1" t="b">
        <f t="shared" si="28"/>
        <v>1</v>
      </c>
      <c r="AL50">
        <f t="shared" si="29"/>
        <v>1995</v>
      </c>
      <c r="AM50" s="2">
        <f t="shared" si="9"/>
        <v>161321.78999276881</v>
      </c>
      <c r="AN50" s="2">
        <f t="shared" si="9"/>
        <v>0</v>
      </c>
      <c r="AO50" s="2"/>
      <c r="AP50" s="2"/>
      <c r="AQ50" s="2">
        <f t="shared" si="10"/>
        <v>0</v>
      </c>
      <c r="AR50" s="2"/>
      <c r="AS50" s="2">
        <f t="shared" si="11"/>
        <v>107547.85999517921</v>
      </c>
      <c r="AT50" s="2">
        <f t="shared" si="30"/>
        <v>268869.64998794801</v>
      </c>
      <c r="AU50" s="2">
        <f t="shared" si="31"/>
        <v>0</v>
      </c>
    </row>
    <row r="51" spans="1:47" x14ac:dyDescent="0.2">
      <c r="A51">
        <f t="shared" si="4"/>
        <v>1996</v>
      </c>
      <c r="B51" s="2">
        <f t="shared" si="12"/>
        <v>198232.21554311435</v>
      </c>
      <c r="C51" s="2">
        <f t="shared" si="13"/>
        <v>0</v>
      </c>
      <c r="D51" s="2"/>
      <c r="E51" s="2"/>
      <c r="F51" s="2">
        <f t="shared" si="14"/>
        <v>0</v>
      </c>
      <c r="G51" s="2"/>
      <c r="H51" s="2">
        <f t="shared" si="15"/>
        <v>111398.07338300663</v>
      </c>
      <c r="I51" s="2">
        <f t="shared" si="16"/>
        <v>309630.28892612096</v>
      </c>
      <c r="J51" s="2">
        <f t="shared" si="17"/>
        <v>40760.638938172953</v>
      </c>
      <c r="K51" s="6">
        <f t="shared" si="18"/>
        <v>0.15160000000000012</v>
      </c>
      <c r="L51" s="7">
        <f t="shared" si="19"/>
        <v>1.1516000000000002</v>
      </c>
      <c r="O51">
        <f t="shared" si="20"/>
        <v>1996</v>
      </c>
      <c r="P51" s="6">
        <f t="shared" si="5"/>
        <v>0.64022229940951725</v>
      </c>
      <c r="Q51" s="6">
        <f t="shared" si="5"/>
        <v>0</v>
      </c>
      <c r="R51" s="7"/>
      <c r="S51" s="7"/>
      <c r="T51" s="6">
        <f t="shared" si="6"/>
        <v>0</v>
      </c>
      <c r="U51" s="6"/>
      <c r="V51" s="38">
        <f t="shared" si="7"/>
        <v>0.35977770059048281</v>
      </c>
      <c r="W51" s="6">
        <f t="shared" si="21"/>
        <v>1</v>
      </c>
      <c r="X51" s="7">
        <f t="shared" si="22"/>
        <v>0.64022229940951725</v>
      </c>
      <c r="Y51" s="7">
        <f t="shared" si="23"/>
        <v>0</v>
      </c>
      <c r="Z51" s="6"/>
      <c r="AB51">
        <f t="shared" si="24"/>
        <v>1996</v>
      </c>
      <c r="AC51" s="1" t="b">
        <f t="shared" si="25"/>
        <v>0</v>
      </c>
      <c r="AD51" s="1" t="b">
        <f t="shared" si="26"/>
        <v>0</v>
      </c>
      <c r="AG51" s="1" t="b">
        <f t="shared" si="8"/>
        <v>0</v>
      </c>
      <c r="AI51" s="39" t="b">
        <f t="shared" si="27"/>
        <v>0</v>
      </c>
      <c r="AJ51" s="1" t="b">
        <f t="shared" si="28"/>
        <v>1</v>
      </c>
      <c r="AL51">
        <f t="shared" si="29"/>
        <v>1996</v>
      </c>
      <c r="AM51" s="2">
        <f t="shared" si="9"/>
        <v>185778.17335567257</v>
      </c>
      <c r="AN51" s="2">
        <f t="shared" si="9"/>
        <v>0</v>
      </c>
      <c r="AO51" s="2"/>
      <c r="AP51" s="2"/>
      <c r="AQ51" s="2">
        <f t="shared" si="10"/>
        <v>0</v>
      </c>
      <c r="AR51" s="2"/>
      <c r="AS51" s="2">
        <f t="shared" si="11"/>
        <v>123852.1155704484</v>
      </c>
      <c r="AT51" s="2">
        <f t="shared" si="30"/>
        <v>309630.28892612096</v>
      </c>
      <c r="AU51" s="2">
        <f t="shared" si="31"/>
        <v>0</v>
      </c>
    </row>
    <row r="52" spans="1:47" x14ac:dyDescent="0.2">
      <c r="A52">
        <f t="shared" si="4"/>
        <v>1997</v>
      </c>
      <c r="B52" s="2">
        <f t="shared" si="12"/>
        <v>247437.94909242031</v>
      </c>
      <c r="C52" s="2">
        <f t="shared" si="13"/>
        <v>0</v>
      </c>
      <c r="D52" s="2"/>
      <c r="E52" s="2"/>
      <c r="F52" s="2"/>
      <c r="G52" s="2">
        <f>AQ51*(1+(G13/100))</f>
        <v>0</v>
      </c>
      <c r="H52" s="2">
        <f t="shared" si="15"/>
        <v>135543.75528029873</v>
      </c>
      <c r="I52" s="2">
        <f t="shared" si="16"/>
        <v>382981.70437271905</v>
      </c>
      <c r="J52" s="2">
        <f t="shared" si="17"/>
        <v>73351.415446598083</v>
      </c>
      <c r="K52" s="6">
        <f t="shared" si="18"/>
        <v>0.23690000000000008</v>
      </c>
      <c r="L52" s="7">
        <f t="shared" si="19"/>
        <v>1.2369000000000001</v>
      </c>
      <c r="O52">
        <f t="shared" si="20"/>
        <v>1997</v>
      </c>
      <c r="P52" s="6">
        <f t="shared" si="5"/>
        <v>0.64608294930875576</v>
      </c>
      <c r="Q52" s="6">
        <f t="shared" si="5"/>
        <v>0</v>
      </c>
      <c r="R52" s="7"/>
      <c r="S52" s="7"/>
      <c r="T52" s="6"/>
      <c r="U52" s="6">
        <f t="shared" si="5"/>
        <v>0</v>
      </c>
      <c r="V52" s="6">
        <f t="shared" si="7"/>
        <v>0.35391705069124429</v>
      </c>
      <c r="W52" s="6">
        <f t="shared" si="21"/>
        <v>1</v>
      </c>
      <c r="X52" s="7">
        <f t="shared" si="22"/>
        <v>0.64608294930875576</v>
      </c>
      <c r="Y52" s="7">
        <f t="shared" si="23"/>
        <v>0</v>
      </c>
      <c r="Z52" s="6"/>
      <c r="AB52">
        <f t="shared" si="24"/>
        <v>1997</v>
      </c>
      <c r="AC52" s="1" t="b">
        <f t="shared" si="25"/>
        <v>0</v>
      </c>
      <c r="AD52" s="1" t="b">
        <f t="shared" si="26"/>
        <v>0</v>
      </c>
      <c r="AG52" s="1"/>
      <c r="AH52" s="1" t="b">
        <f t="shared" ref="AH52:AH72" si="32">AND((G52/$I52)&gt;0.15,(G52/$I52)&lt;0.25)</f>
        <v>0</v>
      </c>
      <c r="AI52" s="1" t="b">
        <f t="shared" si="27"/>
        <v>0</v>
      </c>
      <c r="AJ52" s="1" t="b">
        <f t="shared" si="28"/>
        <v>1</v>
      </c>
      <c r="AL52">
        <f t="shared" si="29"/>
        <v>1997</v>
      </c>
      <c r="AM52" s="2">
        <f t="shared" si="9"/>
        <v>229789.02262363143</v>
      </c>
      <c r="AN52" s="2">
        <f t="shared" si="9"/>
        <v>0</v>
      </c>
      <c r="AO52" s="2"/>
      <c r="AP52" s="2"/>
      <c r="AQ52" s="2">
        <f t="shared" si="10"/>
        <v>0</v>
      </c>
      <c r="AR52" s="2"/>
      <c r="AS52" s="2">
        <f t="shared" si="11"/>
        <v>153192.68174908761</v>
      </c>
      <c r="AT52" s="2">
        <f t="shared" si="30"/>
        <v>382981.70437271905</v>
      </c>
      <c r="AU52" s="2">
        <f t="shared" si="31"/>
        <v>0</v>
      </c>
    </row>
    <row r="53" spans="1:47" x14ac:dyDescent="0.2">
      <c r="A53">
        <f t="shared" si="4"/>
        <v>1998</v>
      </c>
      <c r="B53" s="2">
        <f t="shared" si="12"/>
        <v>295646.55650756421</v>
      </c>
      <c r="C53" s="2">
        <f t="shared" si="13"/>
        <v>0</v>
      </c>
      <c r="D53" s="2"/>
      <c r="E53" s="2"/>
      <c r="F53" s="2"/>
      <c r="G53" s="2">
        <f t="shared" ref="G53:G73" si="33">AR52*(1+(G14/100))</f>
        <v>0</v>
      </c>
      <c r="H53" s="2">
        <f t="shared" si="15"/>
        <v>166336.61384315934</v>
      </c>
      <c r="I53" s="2">
        <f t="shared" si="16"/>
        <v>461983.17035072355</v>
      </c>
      <c r="J53" s="2">
        <f t="shared" si="17"/>
        <v>79001.465978004504</v>
      </c>
      <c r="K53" s="6">
        <f t="shared" si="18"/>
        <v>0.20628000000000005</v>
      </c>
      <c r="L53" s="7">
        <f t="shared" si="19"/>
        <v>1.20628</v>
      </c>
      <c r="O53">
        <f t="shared" si="20"/>
        <v>1998</v>
      </c>
      <c r="P53" s="38">
        <f t="shared" si="5"/>
        <v>0.63995092350034821</v>
      </c>
      <c r="Q53" s="6">
        <f t="shared" si="5"/>
        <v>0</v>
      </c>
      <c r="R53" s="7"/>
      <c r="S53" s="7"/>
      <c r="T53" s="7"/>
      <c r="U53" s="6">
        <f t="shared" si="5"/>
        <v>0</v>
      </c>
      <c r="V53" s="6">
        <f t="shared" si="7"/>
        <v>0.36004907649965184</v>
      </c>
      <c r="W53" s="6">
        <f t="shared" si="21"/>
        <v>1</v>
      </c>
      <c r="X53" s="7">
        <f t="shared" si="22"/>
        <v>0.63995092350034821</v>
      </c>
      <c r="Y53" s="7">
        <f t="shared" si="23"/>
        <v>0</v>
      </c>
      <c r="Z53" s="6"/>
      <c r="AB53">
        <f t="shared" si="24"/>
        <v>1998</v>
      </c>
      <c r="AC53" s="39" t="b">
        <f t="shared" si="25"/>
        <v>0</v>
      </c>
      <c r="AD53" s="1" t="b">
        <f t="shared" si="26"/>
        <v>0</v>
      </c>
      <c r="AH53" s="1" t="b">
        <f t="shared" si="32"/>
        <v>0</v>
      </c>
      <c r="AI53" s="1" t="b">
        <f t="shared" si="27"/>
        <v>0</v>
      </c>
      <c r="AJ53" s="1" t="b">
        <f t="shared" si="28"/>
        <v>1</v>
      </c>
      <c r="AL53">
        <f t="shared" si="29"/>
        <v>1998</v>
      </c>
      <c r="AM53" s="2">
        <f t="shared" si="9"/>
        <v>277189.90221043414</v>
      </c>
      <c r="AN53" s="2">
        <f t="shared" si="9"/>
        <v>0</v>
      </c>
      <c r="AO53" s="2"/>
      <c r="AP53" s="2"/>
      <c r="AQ53" s="2"/>
      <c r="AR53" s="2">
        <f>$I53*AR$42</f>
        <v>0</v>
      </c>
      <c r="AS53" s="2">
        <f t="shared" si="11"/>
        <v>184793.26814028944</v>
      </c>
      <c r="AT53" s="2">
        <f t="shared" si="30"/>
        <v>461983.17035072355</v>
      </c>
      <c r="AU53" s="2">
        <f t="shared" si="31"/>
        <v>0</v>
      </c>
    </row>
    <row r="54" spans="1:47" x14ac:dyDescent="0.2">
      <c r="A54">
        <f t="shared" si="4"/>
        <v>1999</v>
      </c>
      <c r="B54" s="2">
        <f t="shared" ref="B54:B73" si="34">AM53*(1+(B15/100))</f>
        <v>335593.81460617267</v>
      </c>
      <c r="C54" s="2"/>
      <c r="D54" s="2">
        <f>(AN53*0.67)*(1+(D15/100))</f>
        <v>0</v>
      </c>
      <c r="E54" s="2">
        <f>(AN53*0.33)*(1+(E15/100))</f>
        <v>0</v>
      </c>
      <c r="F54" s="2"/>
      <c r="G54" s="2">
        <f t="shared" si="33"/>
        <v>0</v>
      </c>
      <c r="H54" s="2">
        <f t="shared" si="15"/>
        <v>183388.83930242324</v>
      </c>
      <c r="I54" s="2">
        <f t="shared" si="16"/>
        <v>518982.65390859591</v>
      </c>
      <c r="J54" s="2">
        <f t="shared" si="17"/>
        <v>56999.483557872358</v>
      </c>
      <c r="K54" s="6">
        <f t="shared" si="18"/>
        <v>0.12338000000000018</v>
      </c>
      <c r="L54" s="7">
        <f t="shared" si="19"/>
        <v>1.1233800000000003</v>
      </c>
      <c r="O54">
        <f t="shared" si="20"/>
        <v>1999</v>
      </c>
      <c r="P54" s="6">
        <f t="shared" si="5"/>
        <v>0.6466378251348609</v>
      </c>
      <c r="Q54" s="7"/>
      <c r="R54" s="6">
        <f t="shared" si="5"/>
        <v>0</v>
      </c>
      <c r="S54" s="6">
        <f t="shared" si="5"/>
        <v>0</v>
      </c>
      <c r="T54" s="7"/>
      <c r="U54" s="6">
        <f t="shared" si="5"/>
        <v>0</v>
      </c>
      <c r="V54" s="6">
        <f t="shared" si="7"/>
        <v>0.3533621748651391</v>
      </c>
      <c r="W54" s="6">
        <f t="shared" si="21"/>
        <v>1</v>
      </c>
      <c r="X54" s="7">
        <f t="shared" si="22"/>
        <v>0.6466378251348609</v>
      </c>
      <c r="Y54" s="7">
        <f t="shared" si="23"/>
        <v>0</v>
      </c>
      <c r="Z54" s="6"/>
      <c r="AB54">
        <f t="shared" si="24"/>
        <v>1999</v>
      </c>
      <c r="AC54" s="1" t="b">
        <f t="shared" si="25"/>
        <v>0</v>
      </c>
      <c r="AE54" s="1" t="b">
        <f>AND((D54/$I54)&gt;0.15,(D54/$I54)&lt;0.25)</f>
        <v>0</v>
      </c>
      <c r="AF54" s="1" t="b">
        <f>AND((E54/$I54)&gt;0.05,(E54/$I54)&lt;0.15)</f>
        <v>0</v>
      </c>
      <c r="AH54" s="1" t="b">
        <f t="shared" si="32"/>
        <v>0</v>
      </c>
      <c r="AI54" s="1" t="b">
        <f t="shared" si="27"/>
        <v>0</v>
      </c>
      <c r="AJ54" s="1" t="b">
        <f t="shared" si="28"/>
        <v>1</v>
      </c>
      <c r="AL54">
        <f t="shared" si="29"/>
        <v>1999</v>
      </c>
      <c r="AM54" s="2">
        <f>$I54*AM$42</f>
        <v>311389.59234515752</v>
      </c>
      <c r="AN54" s="2"/>
      <c r="AO54" s="2">
        <f t="shared" ref="AO54:AP69" si="35">$I54*AO$42</f>
        <v>0</v>
      </c>
      <c r="AP54" s="2">
        <f t="shared" si="35"/>
        <v>0</v>
      </c>
      <c r="AQ54" s="2"/>
      <c r="AR54" s="2">
        <f>$I54*AR$42</f>
        <v>0</v>
      </c>
      <c r="AS54" s="2">
        <f t="shared" si="11"/>
        <v>207593.06156343839</v>
      </c>
      <c r="AT54" s="2">
        <f t="shared" si="30"/>
        <v>518982.65390859591</v>
      </c>
      <c r="AU54" s="2">
        <f t="shared" si="31"/>
        <v>0</v>
      </c>
    </row>
    <row r="55" spans="1:47" x14ac:dyDescent="0.2">
      <c r="A55">
        <f t="shared" si="4"/>
        <v>2000</v>
      </c>
      <c r="B55" s="2">
        <f t="shared" si="34"/>
        <v>283177.69527868624</v>
      </c>
      <c r="C55" s="2"/>
      <c r="D55" s="2">
        <f t="shared" ref="D55:D73" si="36">AO54*(1+(D16/100))</f>
        <v>0</v>
      </c>
      <c r="E55" s="2">
        <f t="shared" ref="E55:E73" si="37">AP54*(1+(E16/100))</f>
        <v>0</v>
      </c>
      <c r="F55" s="2"/>
      <c r="G55" s="2">
        <f t="shared" si="33"/>
        <v>0</v>
      </c>
      <c r="H55" s="2">
        <f t="shared" si="15"/>
        <v>231237.91127551405</v>
      </c>
      <c r="I55" s="2">
        <f t="shared" si="16"/>
        <v>514415.60655420029</v>
      </c>
      <c r="J55" s="2">
        <f t="shared" si="17"/>
        <v>-4567.0473543956177</v>
      </c>
      <c r="K55" s="6">
        <f t="shared" si="18"/>
        <v>-8.7999999999999502E-3</v>
      </c>
      <c r="L55" s="7">
        <f t="shared" si="19"/>
        <v>0.99120000000000008</v>
      </c>
      <c r="O55">
        <f t="shared" si="20"/>
        <v>2000</v>
      </c>
      <c r="P55" s="6">
        <f t="shared" si="5"/>
        <v>0.55048426150121055</v>
      </c>
      <c r="Q55" s="7"/>
      <c r="R55" s="6">
        <f t="shared" si="5"/>
        <v>0</v>
      </c>
      <c r="S55" s="6">
        <f t="shared" si="5"/>
        <v>0</v>
      </c>
      <c r="T55" s="7"/>
      <c r="U55" s="6">
        <f t="shared" si="5"/>
        <v>0</v>
      </c>
      <c r="V55" s="6">
        <f t="shared" si="7"/>
        <v>0.44951573849878945</v>
      </c>
      <c r="W55" s="6">
        <f t="shared" si="21"/>
        <v>1</v>
      </c>
      <c r="X55" s="7">
        <f t="shared" si="22"/>
        <v>0.55048426150121055</v>
      </c>
      <c r="Y55" s="7">
        <f t="shared" si="23"/>
        <v>0</v>
      </c>
      <c r="Z55" s="6"/>
      <c r="AB55">
        <f t="shared" si="24"/>
        <v>2000</v>
      </c>
      <c r="AC55" s="1" t="b">
        <f t="shared" si="25"/>
        <v>0</v>
      </c>
      <c r="AE55" s="1" t="b">
        <f t="shared" ref="AE55:AE72" si="38">AND((D55/$I55)&gt;0.15,(D55/$I55)&lt;0.25)</f>
        <v>0</v>
      </c>
      <c r="AF55" s="1" t="b">
        <f t="shared" ref="AF55:AF72" si="39">AND((E55/$I55)&gt;0.05,(E55/$I55)&lt;0.15)</f>
        <v>0</v>
      </c>
      <c r="AH55" s="1" t="b">
        <f t="shared" si="32"/>
        <v>0</v>
      </c>
      <c r="AI55" s="1" t="b">
        <f t="shared" si="27"/>
        <v>0</v>
      </c>
      <c r="AJ55" s="1" t="b">
        <f t="shared" si="28"/>
        <v>1</v>
      </c>
      <c r="AL55">
        <f t="shared" si="29"/>
        <v>2000</v>
      </c>
      <c r="AM55" s="2">
        <f t="shared" ref="AM55:AM75" si="40">$I55*AM$42</f>
        <v>308649.36393252015</v>
      </c>
      <c r="AN55" s="2"/>
      <c r="AO55" s="2">
        <f t="shared" si="35"/>
        <v>0</v>
      </c>
      <c r="AP55" s="2">
        <f t="shared" si="35"/>
        <v>0</v>
      </c>
      <c r="AQ55" s="2"/>
      <c r="AR55" s="2">
        <f t="shared" ref="AR55:AS75" si="41">$I55*AR$42</f>
        <v>0</v>
      </c>
      <c r="AS55" s="2">
        <f t="shared" si="41"/>
        <v>205766.24262168014</v>
      </c>
      <c r="AT55" s="2">
        <f t="shared" si="30"/>
        <v>514415.60655420029</v>
      </c>
      <c r="AU55" s="2">
        <f t="shared" si="31"/>
        <v>0</v>
      </c>
    </row>
    <row r="56" spans="1:47" x14ac:dyDescent="0.2">
      <c r="A56">
        <f t="shared" si="4"/>
        <v>2001</v>
      </c>
      <c r="B56" s="2">
        <f t="shared" si="34"/>
        <v>271549.71038783126</v>
      </c>
      <c r="C56" s="2"/>
      <c r="D56" s="2">
        <f t="shared" si="36"/>
        <v>0</v>
      </c>
      <c r="E56" s="2">
        <f t="shared" si="37"/>
        <v>0</v>
      </c>
      <c r="F56" s="2"/>
      <c r="G56" s="2">
        <f t="shared" si="33"/>
        <v>0</v>
      </c>
      <c r="H56" s="2">
        <f t="shared" si="15"/>
        <v>223112.33687468778</v>
      </c>
      <c r="I56" s="2">
        <f t="shared" si="16"/>
        <v>494662.04726251902</v>
      </c>
      <c r="J56" s="2">
        <f t="shared" si="17"/>
        <v>-19753.559291681275</v>
      </c>
      <c r="K56" s="6">
        <f t="shared" si="18"/>
        <v>-3.8399999999999969E-2</v>
      </c>
      <c r="L56" s="7">
        <f t="shared" si="19"/>
        <v>0.96160000000000001</v>
      </c>
      <c r="O56">
        <f t="shared" si="20"/>
        <v>2001</v>
      </c>
      <c r="P56" s="6">
        <f t="shared" si="5"/>
        <v>0.54896006655574048</v>
      </c>
      <c r="Q56" s="7"/>
      <c r="R56" s="6">
        <f t="shared" si="5"/>
        <v>0</v>
      </c>
      <c r="S56" s="6">
        <f t="shared" si="5"/>
        <v>0</v>
      </c>
      <c r="T56" s="7"/>
      <c r="U56" s="6">
        <f t="shared" si="5"/>
        <v>0</v>
      </c>
      <c r="V56" s="6">
        <f t="shared" si="7"/>
        <v>0.45103993344425963</v>
      </c>
      <c r="W56" s="6">
        <f t="shared" si="21"/>
        <v>1</v>
      </c>
      <c r="X56" s="7">
        <f t="shared" si="22"/>
        <v>0.54896006655574048</v>
      </c>
      <c r="Y56" s="7">
        <f t="shared" si="23"/>
        <v>0</v>
      </c>
      <c r="Z56" s="6"/>
      <c r="AB56">
        <f t="shared" si="24"/>
        <v>2001</v>
      </c>
      <c r="AC56" s="1" t="b">
        <f t="shared" si="25"/>
        <v>0</v>
      </c>
      <c r="AE56" s="1" t="b">
        <f t="shared" si="38"/>
        <v>0</v>
      </c>
      <c r="AF56" s="1" t="b">
        <f t="shared" si="39"/>
        <v>0</v>
      </c>
      <c r="AH56" s="1" t="b">
        <f t="shared" si="32"/>
        <v>0</v>
      </c>
      <c r="AI56" s="1" t="b">
        <f t="shared" si="27"/>
        <v>0</v>
      </c>
      <c r="AJ56" s="1" t="b">
        <f t="shared" si="28"/>
        <v>1</v>
      </c>
      <c r="AL56">
        <f t="shared" si="29"/>
        <v>2001</v>
      </c>
      <c r="AM56" s="2">
        <f t="shared" si="40"/>
        <v>296797.2283575114</v>
      </c>
      <c r="AN56" s="2"/>
      <c r="AO56" s="2">
        <f t="shared" si="35"/>
        <v>0</v>
      </c>
      <c r="AP56" s="2">
        <f t="shared" si="35"/>
        <v>0</v>
      </c>
      <c r="AQ56" s="2"/>
      <c r="AR56" s="2">
        <f t="shared" si="41"/>
        <v>0</v>
      </c>
      <c r="AS56" s="2">
        <f t="shared" si="41"/>
        <v>197864.81890500762</v>
      </c>
      <c r="AT56" s="2">
        <f t="shared" si="30"/>
        <v>494662.04726251902</v>
      </c>
      <c r="AU56" s="2">
        <f t="shared" si="31"/>
        <v>0</v>
      </c>
    </row>
    <row r="57" spans="1:47" x14ac:dyDescent="0.2">
      <c r="A57">
        <f t="shared" si="4"/>
        <v>2002</v>
      </c>
      <c r="B57" s="2">
        <f t="shared" si="34"/>
        <v>231056.64227632261</v>
      </c>
      <c r="C57" s="2"/>
      <c r="D57" s="2">
        <f t="shared" si="36"/>
        <v>0</v>
      </c>
      <c r="E57" s="2">
        <f t="shared" si="37"/>
        <v>0</v>
      </c>
      <c r="F57" s="2"/>
      <c r="G57" s="2">
        <f t="shared" si="33"/>
        <v>0</v>
      </c>
      <c r="H57" s="2">
        <f t="shared" si="15"/>
        <v>214208.45294656124</v>
      </c>
      <c r="I57" s="2">
        <f t="shared" si="16"/>
        <v>445265.09522288386</v>
      </c>
      <c r="J57" s="2">
        <f t="shared" si="17"/>
        <v>-49396.952039635158</v>
      </c>
      <c r="K57" s="6">
        <f t="shared" si="18"/>
        <v>-9.9860000000000018E-2</v>
      </c>
      <c r="L57" s="7">
        <f t="shared" si="19"/>
        <v>0.90013999999999994</v>
      </c>
      <c r="O57">
        <f t="shared" si="20"/>
        <v>2002</v>
      </c>
      <c r="P57" s="38">
        <f t="shared" si="5"/>
        <v>0.51891927922323189</v>
      </c>
      <c r="Q57" s="7"/>
      <c r="R57" s="6">
        <f t="shared" si="5"/>
        <v>0</v>
      </c>
      <c r="S57" s="6">
        <f t="shared" si="5"/>
        <v>0</v>
      </c>
      <c r="T57" s="7"/>
      <c r="U57" s="38">
        <f t="shared" si="5"/>
        <v>0</v>
      </c>
      <c r="V57" s="38">
        <f t="shared" si="7"/>
        <v>0.48108072077676811</v>
      </c>
      <c r="W57" s="6">
        <f t="shared" si="21"/>
        <v>1</v>
      </c>
      <c r="X57" s="7">
        <f t="shared" si="22"/>
        <v>0.51891927922323189</v>
      </c>
      <c r="Y57" s="7">
        <f t="shared" si="23"/>
        <v>0</v>
      </c>
      <c r="Z57" s="6"/>
      <c r="AB57">
        <f t="shared" si="24"/>
        <v>2002</v>
      </c>
      <c r="AC57" s="39" t="b">
        <f t="shared" si="25"/>
        <v>0</v>
      </c>
      <c r="AE57" s="1" t="b">
        <f t="shared" si="38"/>
        <v>0</v>
      </c>
      <c r="AF57" s="1" t="b">
        <f t="shared" si="39"/>
        <v>0</v>
      </c>
      <c r="AH57" s="39" t="b">
        <f t="shared" si="32"/>
        <v>0</v>
      </c>
      <c r="AI57" s="39" t="b">
        <f t="shared" si="27"/>
        <v>0</v>
      </c>
      <c r="AJ57" s="1" t="b">
        <f t="shared" si="28"/>
        <v>1</v>
      </c>
      <c r="AL57">
        <f t="shared" si="29"/>
        <v>2002</v>
      </c>
      <c r="AM57" s="2">
        <f t="shared" si="40"/>
        <v>267159.05713373033</v>
      </c>
      <c r="AN57" s="2"/>
      <c r="AO57" s="2">
        <f t="shared" si="35"/>
        <v>0</v>
      </c>
      <c r="AP57" s="2">
        <f t="shared" si="35"/>
        <v>0</v>
      </c>
      <c r="AQ57" s="2"/>
      <c r="AR57" s="2">
        <f t="shared" si="41"/>
        <v>0</v>
      </c>
      <c r="AS57" s="2">
        <f t="shared" si="41"/>
        <v>178106.03808915356</v>
      </c>
      <c r="AT57" s="2">
        <f t="shared" si="30"/>
        <v>445265.09522288386</v>
      </c>
      <c r="AU57" s="2">
        <f t="shared" si="31"/>
        <v>0</v>
      </c>
    </row>
    <row r="58" spans="1:47" x14ac:dyDescent="0.2">
      <c r="A58">
        <f t="shared" si="4"/>
        <v>2003</v>
      </c>
      <c r="B58" s="2">
        <f t="shared" si="34"/>
        <v>343299.38841684343</v>
      </c>
      <c r="C58" s="2"/>
      <c r="D58" s="2">
        <f t="shared" si="36"/>
        <v>0</v>
      </c>
      <c r="E58" s="2">
        <f t="shared" si="37"/>
        <v>0</v>
      </c>
      <c r="F58" s="2"/>
      <c r="G58" s="2">
        <f t="shared" si="33"/>
        <v>0</v>
      </c>
      <c r="H58" s="2">
        <f t="shared" si="15"/>
        <v>185176.84780129296</v>
      </c>
      <c r="I58" s="2">
        <f t="shared" si="16"/>
        <v>528476.23621813639</v>
      </c>
      <c r="J58" s="2">
        <f t="shared" si="17"/>
        <v>83211.140995252528</v>
      </c>
      <c r="K58" s="6">
        <f t="shared" si="18"/>
        <v>0.18687999999999999</v>
      </c>
      <c r="L58" s="7">
        <f t="shared" si="19"/>
        <v>1.1868799999999999</v>
      </c>
      <c r="O58">
        <f t="shared" si="20"/>
        <v>2003</v>
      </c>
      <c r="P58" s="6">
        <f t="shared" si="5"/>
        <v>0.64960231868428142</v>
      </c>
      <c r="Q58" s="7"/>
      <c r="R58" s="6">
        <f t="shared" si="5"/>
        <v>0</v>
      </c>
      <c r="S58" s="6">
        <f t="shared" si="5"/>
        <v>0</v>
      </c>
      <c r="T58" s="7"/>
      <c r="U58" s="6">
        <f t="shared" si="5"/>
        <v>0</v>
      </c>
      <c r="V58" s="38">
        <f t="shared" si="7"/>
        <v>0.35039768131571858</v>
      </c>
      <c r="W58" s="6">
        <f t="shared" si="21"/>
        <v>1</v>
      </c>
      <c r="X58" s="7">
        <f t="shared" si="22"/>
        <v>0.64960231868428142</v>
      </c>
      <c r="Y58" s="7">
        <f t="shared" si="23"/>
        <v>0</v>
      </c>
      <c r="Z58" s="6"/>
      <c r="AB58">
        <f t="shared" si="24"/>
        <v>2003</v>
      </c>
      <c r="AC58" s="1" t="b">
        <f t="shared" si="25"/>
        <v>0</v>
      </c>
      <c r="AE58" s="1" t="b">
        <f t="shared" si="38"/>
        <v>0</v>
      </c>
      <c r="AF58" s="1" t="b">
        <f t="shared" si="39"/>
        <v>0</v>
      </c>
      <c r="AH58" s="1" t="b">
        <f t="shared" si="32"/>
        <v>0</v>
      </c>
      <c r="AI58" s="39" t="b">
        <f t="shared" si="27"/>
        <v>0</v>
      </c>
      <c r="AJ58" s="1" t="b">
        <f t="shared" si="28"/>
        <v>1</v>
      </c>
      <c r="AL58">
        <f t="shared" si="29"/>
        <v>2003</v>
      </c>
      <c r="AM58" s="2">
        <f t="shared" si="40"/>
        <v>317085.7417308818</v>
      </c>
      <c r="AN58" s="2"/>
      <c r="AO58" s="2">
        <f t="shared" si="35"/>
        <v>0</v>
      </c>
      <c r="AP58" s="2">
        <f t="shared" si="35"/>
        <v>0</v>
      </c>
      <c r="AQ58" s="2"/>
      <c r="AR58" s="2">
        <f t="shared" si="41"/>
        <v>0</v>
      </c>
      <c r="AS58" s="2">
        <f t="shared" si="41"/>
        <v>211390.49448725456</v>
      </c>
      <c r="AT58" s="2">
        <f t="shared" si="30"/>
        <v>528476.23621813639</v>
      </c>
      <c r="AU58" s="2">
        <f t="shared" si="31"/>
        <v>0</v>
      </c>
    </row>
    <row r="59" spans="1:47" x14ac:dyDescent="0.2">
      <c r="A59">
        <f t="shared" si="4"/>
        <v>2004</v>
      </c>
      <c r="B59" s="2">
        <f t="shared" si="34"/>
        <v>351140.75039277849</v>
      </c>
      <c r="C59" s="2"/>
      <c r="D59" s="2">
        <f t="shared" si="36"/>
        <v>0</v>
      </c>
      <c r="E59" s="2">
        <f t="shared" si="37"/>
        <v>0</v>
      </c>
      <c r="F59" s="2"/>
      <c r="G59" s="2">
        <f t="shared" si="33"/>
        <v>0</v>
      </c>
      <c r="H59" s="2">
        <f t="shared" si="15"/>
        <v>220353.45145351416</v>
      </c>
      <c r="I59" s="2">
        <f t="shared" si="16"/>
        <v>571494.20184629271</v>
      </c>
      <c r="J59" s="2">
        <f>I59-I58</f>
        <v>43017.965628156322</v>
      </c>
      <c r="K59" s="6">
        <f>(J59/I58)</f>
        <v>8.1400000000000042E-2</v>
      </c>
      <c r="L59" s="7">
        <f t="shared" si="19"/>
        <v>1.0814000000000001</v>
      </c>
      <c r="O59">
        <f t="shared" si="20"/>
        <v>2004</v>
      </c>
      <c r="P59" s="6">
        <f t="shared" si="5"/>
        <v>0.61442574440540032</v>
      </c>
      <c r="Q59" s="7"/>
      <c r="R59" s="6">
        <f t="shared" si="5"/>
        <v>0</v>
      </c>
      <c r="S59" s="6">
        <f t="shared" si="5"/>
        <v>0</v>
      </c>
      <c r="T59" s="7"/>
      <c r="U59" s="6">
        <f t="shared" si="5"/>
        <v>0</v>
      </c>
      <c r="V59" s="6">
        <f t="shared" si="7"/>
        <v>0.38557425559459962</v>
      </c>
      <c r="W59" s="6">
        <f t="shared" si="21"/>
        <v>1</v>
      </c>
      <c r="X59" s="7">
        <f t="shared" si="22"/>
        <v>0.61442574440540032</v>
      </c>
      <c r="Y59" s="7">
        <f t="shared" si="23"/>
        <v>0</v>
      </c>
      <c r="Z59" s="6"/>
      <c r="AB59">
        <f t="shared" si="24"/>
        <v>2004</v>
      </c>
      <c r="AC59" s="1" t="b">
        <f t="shared" si="25"/>
        <v>0</v>
      </c>
      <c r="AE59" s="1" t="b">
        <f t="shared" si="38"/>
        <v>0</v>
      </c>
      <c r="AF59" s="1" t="b">
        <f t="shared" si="39"/>
        <v>0</v>
      </c>
      <c r="AH59" s="1" t="b">
        <f t="shared" si="32"/>
        <v>0</v>
      </c>
      <c r="AI59" s="1" t="b">
        <f t="shared" si="27"/>
        <v>0</v>
      </c>
      <c r="AJ59" s="1" t="b">
        <f t="shared" si="28"/>
        <v>1</v>
      </c>
      <c r="AL59">
        <f t="shared" si="29"/>
        <v>2004</v>
      </c>
      <c r="AM59" s="2">
        <f t="shared" si="40"/>
        <v>342896.52110777562</v>
      </c>
      <c r="AN59" s="2"/>
      <c r="AO59" s="2">
        <f t="shared" si="35"/>
        <v>0</v>
      </c>
      <c r="AP59" s="2">
        <f t="shared" si="35"/>
        <v>0</v>
      </c>
      <c r="AQ59" s="2"/>
      <c r="AR59" s="2">
        <f t="shared" si="41"/>
        <v>0</v>
      </c>
      <c r="AS59" s="2">
        <f t="shared" si="41"/>
        <v>228597.68073851708</v>
      </c>
      <c r="AT59" s="2">
        <f t="shared" si="30"/>
        <v>571494.20184629271</v>
      </c>
      <c r="AU59" s="2">
        <f t="shared" si="31"/>
        <v>0</v>
      </c>
    </row>
    <row r="60" spans="1:47" x14ac:dyDescent="0.2">
      <c r="A60">
        <f t="shared" si="4"/>
        <v>2005</v>
      </c>
      <c r="B60" s="2">
        <f t="shared" si="34"/>
        <v>359252.68516461656</v>
      </c>
      <c r="C60" s="2"/>
      <c r="D60" s="2">
        <f t="shared" si="36"/>
        <v>0</v>
      </c>
      <c r="E60" s="2">
        <f t="shared" si="37"/>
        <v>0</v>
      </c>
      <c r="F60" s="2"/>
      <c r="G60" s="2">
        <f t="shared" si="33"/>
        <v>0</v>
      </c>
      <c r="H60" s="2">
        <f t="shared" si="15"/>
        <v>234084.02507624149</v>
      </c>
      <c r="I60" s="2">
        <f t="shared" si="16"/>
        <v>593336.71024085802</v>
      </c>
      <c r="J60" s="2">
        <f t="shared" si="17"/>
        <v>21842.508394565317</v>
      </c>
      <c r="K60" s="6">
        <f t="shared" si="18"/>
        <v>3.8220000000000018E-2</v>
      </c>
      <c r="L60" s="7">
        <f t="shared" si="19"/>
        <v>1.0382199999999999</v>
      </c>
      <c r="O60">
        <f t="shared" si="20"/>
        <v>2005</v>
      </c>
      <c r="P60" s="6">
        <f t="shared" si="5"/>
        <v>0.60547860761688277</v>
      </c>
      <c r="Q60" s="7"/>
      <c r="R60" s="6">
        <f t="shared" si="5"/>
        <v>0</v>
      </c>
      <c r="S60" s="6">
        <f t="shared" si="5"/>
        <v>0</v>
      </c>
      <c r="T60" s="7"/>
      <c r="U60" s="6">
        <f t="shared" si="5"/>
        <v>0</v>
      </c>
      <c r="V60" s="6">
        <f t="shared" si="7"/>
        <v>0.39452139238311723</v>
      </c>
      <c r="W60" s="6">
        <f t="shared" si="21"/>
        <v>1</v>
      </c>
      <c r="X60" s="7">
        <f t="shared" si="22"/>
        <v>0.60547860761688277</v>
      </c>
      <c r="Y60" s="7">
        <f t="shared" si="23"/>
        <v>0</v>
      </c>
      <c r="Z60" s="6"/>
      <c r="AB60">
        <f t="shared" si="24"/>
        <v>2005</v>
      </c>
      <c r="AC60" s="1" t="b">
        <f t="shared" si="25"/>
        <v>0</v>
      </c>
      <c r="AE60" s="1" t="b">
        <f t="shared" si="38"/>
        <v>0</v>
      </c>
      <c r="AF60" s="1" t="b">
        <f t="shared" si="39"/>
        <v>0</v>
      </c>
      <c r="AH60" s="1" t="b">
        <f t="shared" si="32"/>
        <v>0</v>
      </c>
      <c r="AI60" s="1" t="b">
        <f t="shared" si="27"/>
        <v>0</v>
      </c>
      <c r="AJ60" s="1" t="b">
        <f t="shared" si="28"/>
        <v>1</v>
      </c>
      <c r="AL60">
        <f t="shared" si="29"/>
        <v>2005</v>
      </c>
      <c r="AM60" s="2">
        <f t="shared" si="40"/>
        <v>356002.02614451479</v>
      </c>
      <c r="AN60" s="2"/>
      <c r="AO60" s="2">
        <f t="shared" si="35"/>
        <v>0</v>
      </c>
      <c r="AP60" s="2">
        <f t="shared" si="35"/>
        <v>0</v>
      </c>
      <c r="AQ60" s="2"/>
      <c r="AR60" s="2">
        <f t="shared" si="41"/>
        <v>0</v>
      </c>
      <c r="AS60" s="2">
        <f t="shared" si="41"/>
        <v>237334.68409634323</v>
      </c>
      <c r="AT60" s="2">
        <f t="shared" si="30"/>
        <v>593336.71024085802</v>
      </c>
      <c r="AU60" s="2">
        <f t="shared" si="31"/>
        <v>0</v>
      </c>
    </row>
    <row r="61" spans="1:47" x14ac:dyDescent="0.2">
      <c r="A61">
        <f t="shared" si="4"/>
        <v>2006</v>
      </c>
      <c r="B61" s="2">
        <f t="shared" si="34"/>
        <v>411680.74303351692</v>
      </c>
      <c r="C61" s="2"/>
      <c r="D61" s="2">
        <f t="shared" si="36"/>
        <v>0</v>
      </c>
      <c r="E61" s="2">
        <f t="shared" si="37"/>
        <v>0</v>
      </c>
      <c r="F61" s="2"/>
      <c r="G61" s="2">
        <f t="shared" si="33"/>
        <v>0</v>
      </c>
      <c r="H61" s="2">
        <f t="shared" si="15"/>
        <v>247468.87510725707</v>
      </c>
      <c r="I61" s="2">
        <f t="shared" si="16"/>
        <v>659149.61814077396</v>
      </c>
      <c r="J61" s="2">
        <f t="shared" si="17"/>
        <v>65812.907899915939</v>
      </c>
      <c r="K61" s="6">
        <f t="shared" si="18"/>
        <v>0.11091999999999995</v>
      </c>
      <c r="L61" s="7">
        <f t="shared" si="19"/>
        <v>1.1109199999999999</v>
      </c>
      <c r="O61">
        <f t="shared" si="20"/>
        <v>2006</v>
      </c>
      <c r="P61" s="6">
        <f t="shared" si="5"/>
        <v>0.62456342490908434</v>
      </c>
      <c r="Q61" s="7"/>
      <c r="R61" s="6">
        <f t="shared" si="5"/>
        <v>0</v>
      </c>
      <c r="S61" s="6">
        <f t="shared" si="5"/>
        <v>0</v>
      </c>
      <c r="T61" s="7"/>
      <c r="U61" s="6">
        <f t="shared" si="5"/>
        <v>0</v>
      </c>
      <c r="V61" s="38">
        <f t="shared" si="7"/>
        <v>0.37543657509091566</v>
      </c>
      <c r="W61" s="6">
        <f t="shared" si="21"/>
        <v>1</v>
      </c>
      <c r="X61" s="7">
        <f t="shared" si="22"/>
        <v>0.62456342490908434</v>
      </c>
      <c r="Y61" s="7">
        <f t="shared" si="23"/>
        <v>0</v>
      </c>
      <c r="Z61" s="6"/>
      <c r="AB61">
        <f t="shared" si="24"/>
        <v>2006</v>
      </c>
      <c r="AC61" s="1" t="b">
        <f t="shared" si="25"/>
        <v>0</v>
      </c>
      <c r="AE61" s="1" t="b">
        <f t="shared" si="38"/>
        <v>0</v>
      </c>
      <c r="AF61" s="1" t="b">
        <f t="shared" si="39"/>
        <v>0</v>
      </c>
      <c r="AH61" s="1" t="b">
        <f t="shared" si="32"/>
        <v>0</v>
      </c>
      <c r="AI61" s="39" t="b">
        <f t="shared" si="27"/>
        <v>0</v>
      </c>
      <c r="AJ61" s="1" t="b">
        <f t="shared" si="28"/>
        <v>1</v>
      </c>
      <c r="AL61">
        <f t="shared" si="29"/>
        <v>2006</v>
      </c>
      <c r="AM61" s="2">
        <f t="shared" si="40"/>
        <v>395489.77088446438</v>
      </c>
      <c r="AN61" s="2"/>
      <c r="AO61" s="2">
        <f t="shared" si="35"/>
        <v>0</v>
      </c>
      <c r="AP61" s="2">
        <f t="shared" si="35"/>
        <v>0</v>
      </c>
      <c r="AQ61" s="2"/>
      <c r="AR61" s="2">
        <f t="shared" si="41"/>
        <v>0</v>
      </c>
      <c r="AS61" s="2">
        <f t="shared" si="41"/>
        <v>263659.84725630959</v>
      </c>
      <c r="AT61" s="2">
        <f t="shared" si="30"/>
        <v>659149.61814077396</v>
      </c>
      <c r="AU61" s="2">
        <f t="shared" si="31"/>
        <v>0</v>
      </c>
    </row>
    <row r="62" spans="1:47" x14ac:dyDescent="0.2">
      <c r="A62">
        <f t="shared" si="4"/>
        <v>2007</v>
      </c>
      <c r="B62" s="2">
        <f t="shared" si="34"/>
        <v>416806.66953513701</v>
      </c>
      <c r="C62" s="2"/>
      <c r="D62" s="2">
        <f t="shared" si="36"/>
        <v>0</v>
      </c>
      <c r="E62" s="2">
        <f t="shared" si="37"/>
        <v>0</v>
      </c>
      <c r="F62" s="2"/>
      <c r="G62" s="2">
        <f t="shared" si="33"/>
        <v>0</v>
      </c>
      <c r="H62" s="2">
        <f t="shared" si="15"/>
        <v>281905.10868644621</v>
      </c>
      <c r="I62" s="2">
        <f t="shared" si="16"/>
        <v>698711.77822158323</v>
      </c>
      <c r="J62" s="2">
        <f t="shared" si="17"/>
        <v>39562.160080809263</v>
      </c>
      <c r="K62" s="6">
        <f t="shared" si="18"/>
        <v>6.0020000000000011E-2</v>
      </c>
      <c r="L62" s="7">
        <f t="shared" si="19"/>
        <v>1.06002</v>
      </c>
      <c r="O62">
        <f t="shared" si="20"/>
        <v>2007</v>
      </c>
      <c r="P62" s="6">
        <f t="shared" si="5"/>
        <v>0.59653591441670917</v>
      </c>
      <c r="Q62" s="7"/>
      <c r="R62" s="6">
        <f t="shared" si="5"/>
        <v>0</v>
      </c>
      <c r="S62" s="6">
        <f t="shared" si="5"/>
        <v>0</v>
      </c>
      <c r="T62" s="7"/>
      <c r="U62" s="6">
        <f t="shared" si="5"/>
        <v>0</v>
      </c>
      <c r="V62" s="6">
        <f t="shared" si="7"/>
        <v>0.40346408558329089</v>
      </c>
      <c r="W62" s="6">
        <f t="shared" si="21"/>
        <v>1</v>
      </c>
      <c r="X62" s="7">
        <f t="shared" si="22"/>
        <v>0.59653591441670917</v>
      </c>
      <c r="Y62" s="7">
        <f t="shared" si="23"/>
        <v>0</v>
      </c>
      <c r="Z62" s="6"/>
      <c r="AA62" s="7">
        <f>SUM(P62:U62)</f>
        <v>0.59653591441670917</v>
      </c>
      <c r="AB62">
        <f t="shared" si="24"/>
        <v>2007</v>
      </c>
      <c r="AC62" s="1" t="b">
        <f t="shared" si="25"/>
        <v>0</v>
      </c>
      <c r="AE62" s="1" t="b">
        <f t="shared" si="38"/>
        <v>0</v>
      </c>
      <c r="AF62" s="1" t="b">
        <f t="shared" si="39"/>
        <v>0</v>
      </c>
      <c r="AH62" s="1" t="b">
        <f t="shared" si="32"/>
        <v>0</v>
      </c>
      <c r="AI62" s="1" t="b">
        <f t="shared" si="27"/>
        <v>0</v>
      </c>
      <c r="AJ62" s="1" t="b">
        <f t="shared" si="28"/>
        <v>1</v>
      </c>
      <c r="AL62">
        <f t="shared" si="29"/>
        <v>2007</v>
      </c>
      <c r="AM62" s="2">
        <f t="shared" si="40"/>
        <v>419227.06693294994</v>
      </c>
      <c r="AN62" s="2"/>
      <c r="AO62" s="2">
        <f t="shared" si="35"/>
        <v>0</v>
      </c>
      <c r="AP62" s="2">
        <f t="shared" si="35"/>
        <v>0</v>
      </c>
      <c r="AQ62" s="2"/>
      <c r="AR62" s="2">
        <f t="shared" si="41"/>
        <v>0</v>
      </c>
      <c r="AS62" s="2">
        <f t="shared" si="41"/>
        <v>279484.71128863329</v>
      </c>
      <c r="AT62" s="2">
        <f t="shared" si="30"/>
        <v>698711.77822158323</v>
      </c>
      <c r="AU62" s="2">
        <f t="shared" si="31"/>
        <v>0</v>
      </c>
    </row>
    <row r="63" spans="1:47" x14ac:dyDescent="0.2">
      <c r="A63">
        <f t="shared" si="4"/>
        <v>2008</v>
      </c>
      <c r="B63" s="2">
        <f t="shared" si="34"/>
        <v>264029.20675437181</v>
      </c>
      <c r="C63" s="2"/>
      <c r="D63" s="2">
        <f t="shared" si="36"/>
        <v>0</v>
      </c>
      <c r="E63" s="2">
        <f t="shared" si="37"/>
        <v>0</v>
      </c>
      <c r="F63" s="2"/>
      <c r="G63" s="2">
        <f t="shared" si="33"/>
        <v>0</v>
      </c>
      <c r="H63" s="2">
        <f t="shared" si="15"/>
        <v>293598.68920870929</v>
      </c>
      <c r="I63" s="2">
        <f t="shared" si="16"/>
        <v>557627.89596308116</v>
      </c>
      <c r="J63" s="2">
        <f t="shared" si="17"/>
        <v>-141083.88225850207</v>
      </c>
      <c r="K63" s="6">
        <f t="shared" si="18"/>
        <v>-0.20191999999999999</v>
      </c>
      <c r="L63" s="7">
        <f t="shared" si="19"/>
        <v>0.79808000000000001</v>
      </c>
      <c r="O63">
        <f t="shared" si="20"/>
        <v>2008</v>
      </c>
      <c r="P63" s="6">
        <f t="shared" si="5"/>
        <v>0.47348636728147542</v>
      </c>
      <c r="Q63" s="7"/>
      <c r="R63" s="6">
        <f t="shared" si="5"/>
        <v>0</v>
      </c>
      <c r="S63" s="6">
        <f t="shared" si="5"/>
        <v>0</v>
      </c>
      <c r="T63" s="7"/>
      <c r="U63" s="6">
        <f t="shared" si="5"/>
        <v>0</v>
      </c>
      <c r="V63" s="38">
        <f t="shared" si="7"/>
        <v>0.52651363271852447</v>
      </c>
      <c r="W63" s="6">
        <f t="shared" si="21"/>
        <v>0.99999999999999989</v>
      </c>
      <c r="X63" s="7">
        <f t="shared" si="22"/>
        <v>0.47348636728147542</v>
      </c>
      <c r="Y63" s="7">
        <f t="shared" si="23"/>
        <v>0</v>
      </c>
      <c r="Z63" s="6"/>
      <c r="AB63">
        <f t="shared" si="24"/>
        <v>2008</v>
      </c>
      <c r="AC63" s="1" t="b">
        <f t="shared" si="25"/>
        <v>0</v>
      </c>
      <c r="AE63" s="1" t="b">
        <f t="shared" si="38"/>
        <v>0</v>
      </c>
      <c r="AF63" s="1" t="b">
        <f t="shared" si="39"/>
        <v>0</v>
      </c>
      <c r="AH63" s="1" t="b">
        <f t="shared" si="32"/>
        <v>0</v>
      </c>
      <c r="AI63" s="39" t="b">
        <f t="shared" si="27"/>
        <v>0</v>
      </c>
      <c r="AJ63" s="1" t="b">
        <f t="shared" si="28"/>
        <v>1</v>
      </c>
      <c r="AL63">
        <f t="shared" si="29"/>
        <v>2008</v>
      </c>
      <c r="AM63" s="2">
        <f t="shared" si="40"/>
        <v>334576.73757784866</v>
      </c>
      <c r="AN63" s="2"/>
      <c r="AO63" s="2">
        <f t="shared" si="35"/>
        <v>0</v>
      </c>
      <c r="AP63" s="2">
        <f t="shared" si="35"/>
        <v>0</v>
      </c>
      <c r="AQ63" s="2"/>
      <c r="AR63" s="2">
        <f t="shared" si="41"/>
        <v>0</v>
      </c>
      <c r="AS63" s="2">
        <f t="shared" si="41"/>
        <v>223051.15838523247</v>
      </c>
      <c r="AT63" s="2">
        <f t="shared" si="30"/>
        <v>557627.89596308116</v>
      </c>
      <c r="AU63" s="2">
        <f t="shared" si="31"/>
        <v>0</v>
      </c>
    </row>
    <row r="64" spans="1:47" x14ac:dyDescent="0.2">
      <c r="A64">
        <f t="shared" si="4"/>
        <v>2009</v>
      </c>
      <c r="B64" s="2">
        <f t="shared" si="34"/>
        <v>423206.11536222073</v>
      </c>
      <c r="C64" s="2"/>
      <c r="D64" s="2">
        <f t="shared" si="36"/>
        <v>0</v>
      </c>
      <c r="E64" s="2">
        <f t="shared" si="37"/>
        <v>0</v>
      </c>
      <c r="F64" s="2"/>
      <c r="G64" s="2">
        <f t="shared" si="33"/>
        <v>0</v>
      </c>
      <c r="H64" s="2">
        <f t="shared" si="15"/>
        <v>236278.09207747673</v>
      </c>
      <c r="I64" s="2">
        <f t="shared" si="16"/>
        <v>659484.20743969746</v>
      </c>
      <c r="J64" s="2">
        <f t="shared" si="17"/>
        <v>101856.31147661631</v>
      </c>
      <c r="K64" s="6">
        <f t="shared" si="18"/>
        <v>0.18265999999999982</v>
      </c>
      <c r="L64" s="7">
        <f t="shared" si="19"/>
        <v>1.1826599999999998</v>
      </c>
      <c r="O64">
        <f t="shared" si="20"/>
        <v>2009</v>
      </c>
      <c r="P64" s="6">
        <f t="shared" si="5"/>
        <v>0.64172289584495967</v>
      </c>
      <c r="Q64" s="7"/>
      <c r="R64" s="6">
        <f t="shared" si="5"/>
        <v>0</v>
      </c>
      <c r="S64" s="6">
        <f t="shared" si="5"/>
        <v>0</v>
      </c>
      <c r="T64" s="7"/>
      <c r="U64" s="6">
        <f t="shared" si="5"/>
        <v>0</v>
      </c>
      <c r="V64" s="6">
        <f t="shared" si="7"/>
        <v>0.35827710415504038</v>
      </c>
      <c r="W64" s="6">
        <f t="shared" si="21"/>
        <v>1</v>
      </c>
      <c r="X64" s="7">
        <f t="shared" si="22"/>
        <v>0.64172289584495967</v>
      </c>
      <c r="Y64" s="7">
        <f t="shared" si="23"/>
        <v>0</v>
      </c>
      <c r="Z64" s="6"/>
      <c r="AB64">
        <f t="shared" si="24"/>
        <v>2009</v>
      </c>
      <c r="AC64" s="1" t="b">
        <f t="shared" si="25"/>
        <v>0</v>
      </c>
      <c r="AE64" s="1" t="b">
        <f t="shared" si="38"/>
        <v>0</v>
      </c>
      <c r="AF64" s="1" t="b">
        <f t="shared" si="39"/>
        <v>0</v>
      </c>
      <c r="AH64" s="1" t="b">
        <f t="shared" si="32"/>
        <v>0</v>
      </c>
      <c r="AI64" s="1" t="b">
        <f t="shared" si="27"/>
        <v>0</v>
      </c>
      <c r="AJ64" s="1" t="b">
        <f t="shared" si="28"/>
        <v>1</v>
      </c>
      <c r="AL64">
        <f t="shared" si="29"/>
        <v>2009</v>
      </c>
      <c r="AM64" s="2">
        <f t="shared" si="40"/>
        <v>395690.52446381847</v>
      </c>
      <c r="AN64" s="2"/>
      <c r="AO64" s="2">
        <f t="shared" si="35"/>
        <v>0</v>
      </c>
      <c r="AP64" s="2">
        <f t="shared" si="35"/>
        <v>0</v>
      </c>
      <c r="AQ64" s="2"/>
      <c r="AR64" s="2">
        <f t="shared" si="41"/>
        <v>0</v>
      </c>
      <c r="AS64" s="2">
        <f t="shared" si="41"/>
        <v>263793.682975879</v>
      </c>
      <c r="AT64" s="2">
        <f t="shared" si="30"/>
        <v>659484.20743969746</v>
      </c>
      <c r="AU64" s="2">
        <f t="shared" si="31"/>
        <v>0</v>
      </c>
    </row>
    <row r="65" spans="1:47" x14ac:dyDescent="0.2">
      <c r="A65">
        <f t="shared" si="4"/>
        <v>2010</v>
      </c>
      <c r="B65" s="2">
        <f t="shared" si="34"/>
        <v>454687.98166137381</v>
      </c>
      <c r="C65" s="2"/>
      <c r="D65" s="2">
        <f t="shared" si="36"/>
        <v>0</v>
      </c>
      <c r="E65" s="2">
        <f t="shared" si="37"/>
        <v>0</v>
      </c>
      <c r="F65" s="2"/>
      <c r="G65" s="2">
        <f t="shared" si="33"/>
        <v>0</v>
      </c>
      <c r="H65" s="2">
        <f t="shared" si="15"/>
        <v>280729.23742293043</v>
      </c>
      <c r="I65" s="2">
        <f t="shared" si="16"/>
        <v>735417.21908430429</v>
      </c>
      <c r="J65" s="2">
        <f t="shared" si="17"/>
        <v>75933.011644606828</v>
      </c>
      <c r="K65" s="6">
        <f t="shared" si="18"/>
        <v>0.11514000000000009</v>
      </c>
      <c r="L65" s="7">
        <f t="shared" si="19"/>
        <v>1.11514</v>
      </c>
      <c r="O65">
        <f t="shared" si="20"/>
        <v>2010</v>
      </c>
      <c r="P65" s="6">
        <f t="shared" si="5"/>
        <v>0.61827214520149931</v>
      </c>
      <c r="Q65" s="7"/>
      <c r="R65" s="6">
        <f t="shared" si="5"/>
        <v>0</v>
      </c>
      <c r="S65" s="6">
        <f t="shared" si="5"/>
        <v>0</v>
      </c>
      <c r="T65" s="7"/>
      <c r="U65" s="6">
        <f t="shared" si="5"/>
        <v>0</v>
      </c>
      <c r="V65" s="38">
        <f t="shared" si="7"/>
        <v>0.38172785479850063</v>
      </c>
      <c r="W65" s="6">
        <f t="shared" si="21"/>
        <v>1</v>
      </c>
      <c r="X65" s="7">
        <f t="shared" si="22"/>
        <v>0.61827214520149931</v>
      </c>
      <c r="Y65" s="7">
        <f t="shared" si="23"/>
        <v>0</v>
      </c>
      <c r="Z65" s="6"/>
      <c r="AB65">
        <f t="shared" si="24"/>
        <v>2010</v>
      </c>
      <c r="AC65" s="1" t="b">
        <f t="shared" si="25"/>
        <v>0</v>
      </c>
      <c r="AE65" s="1" t="b">
        <f t="shared" si="38"/>
        <v>0</v>
      </c>
      <c r="AF65" s="1" t="b">
        <f t="shared" si="39"/>
        <v>0</v>
      </c>
      <c r="AH65" s="1" t="b">
        <f t="shared" si="32"/>
        <v>0</v>
      </c>
      <c r="AI65" s="39" t="b">
        <f t="shared" si="27"/>
        <v>0</v>
      </c>
      <c r="AJ65" s="1" t="b">
        <f t="shared" si="28"/>
        <v>1</v>
      </c>
      <c r="AL65">
        <f t="shared" si="29"/>
        <v>2010</v>
      </c>
      <c r="AM65" s="2">
        <f t="shared" si="40"/>
        <v>441250.33145058254</v>
      </c>
      <c r="AN65" s="2"/>
      <c r="AO65" s="2">
        <f t="shared" si="35"/>
        <v>0</v>
      </c>
      <c r="AP65" s="2">
        <f t="shared" si="35"/>
        <v>0</v>
      </c>
      <c r="AQ65" s="2"/>
      <c r="AR65" s="2">
        <f t="shared" si="41"/>
        <v>0</v>
      </c>
      <c r="AS65" s="2">
        <f t="shared" si="41"/>
        <v>294166.88763372175</v>
      </c>
      <c r="AT65" s="2">
        <f t="shared" si="30"/>
        <v>735417.21908430429</v>
      </c>
      <c r="AU65" s="2">
        <f t="shared" si="31"/>
        <v>0</v>
      </c>
    </row>
    <row r="66" spans="1:47" x14ac:dyDescent="0.2">
      <c r="A66">
        <f t="shared" si="4"/>
        <v>2011</v>
      </c>
      <c r="B66" s="2">
        <f t="shared" si="34"/>
        <v>449942.96298015903</v>
      </c>
      <c r="C66" s="2"/>
      <c r="D66" s="2">
        <f t="shared" si="36"/>
        <v>0</v>
      </c>
      <c r="E66" s="2">
        <f t="shared" si="37"/>
        <v>0</v>
      </c>
      <c r="F66" s="2"/>
      <c r="G66" s="2">
        <f t="shared" si="33"/>
        <v>0</v>
      </c>
      <c r="H66" s="2">
        <f t="shared" si="15"/>
        <v>316405.90433883114</v>
      </c>
      <c r="I66" s="2">
        <f t="shared" si="16"/>
        <v>766348.86731899017</v>
      </c>
      <c r="J66" s="2">
        <f t="shared" si="17"/>
        <v>30931.648234685883</v>
      </c>
      <c r="K66" s="6">
        <f t="shared" si="18"/>
        <v>4.2060000000000063E-2</v>
      </c>
      <c r="L66" s="7">
        <f t="shared" si="19"/>
        <v>1.04206</v>
      </c>
      <c r="O66">
        <f t="shared" si="20"/>
        <v>2011</v>
      </c>
      <c r="P66" s="6">
        <f t="shared" si="5"/>
        <v>0.58712550141066733</v>
      </c>
      <c r="Q66" s="7"/>
      <c r="R66" s="6">
        <f t="shared" si="5"/>
        <v>0</v>
      </c>
      <c r="S66" s="6">
        <f t="shared" si="5"/>
        <v>0</v>
      </c>
      <c r="T66" s="7"/>
      <c r="U66" s="6">
        <f t="shared" si="5"/>
        <v>0</v>
      </c>
      <c r="V66" s="6">
        <f t="shared" si="7"/>
        <v>0.41287449858933273</v>
      </c>
      <c r="W66" s="6">
        <f t="shared" si="21"/>
        <v>1</v>
      </c>
      <c r="X66" s="7">
        <f t="shared" si="22"/>
        <v>0.58712550141066733</v>
      </c>
      <c r="Y66" s="7">
        <f t="shared" si="23"/>
        <v>0</v>
      </c>
      <c r="Z66" s="6"/>
      <c r="AB66">
        <f t="shared" si="24"/>
        <v>2011</v>
      </c>
      <c r="AC66" s="1" t="b">
        <f t="shared" si="25"/>
        <v>0</v>
      </c>
      <c r="AE66" s="1" t="b">
        <f t="shared" si="38"/>
        <v>0</v>
      </c>
      <c r="AF66" s="1" t="b">
        <f t="shared" si="39"/>
        <v>0</v>
      </c>
      <c r="AH66" s="1" t="b">
        <f t="shared" si="32"/>
        <v>0</v>
      </c>
      <c r="AI66" s="1" t="b">
        <f t="shared" si="27"/>
        <v>0</v>
      </c>
      <c r="AJ66" s="1" t="b">
        <f t="shared" si="28"/>
        <v>1</v>
      </c>
      <c r="AL66">
        <f t="shared" si="29"/>
        <v>2011</v>
      </c>
      <c r="AM66" s="2">
        <f t="shared" si="40"/>
        <v>459809.32039139408</v>
      </c>
      <c r="AN66" s="2"/>
      <c r="AO66" s="2">
        <f t="shared" si="35"/>
        <v>0</v>
      </c>
      <c r="AP66" s="2">
        <f t="shared" si="35"/>
        <v>0</v>
      </c>
      <c r="AQ66" s="2"/>
      <c r="AR66" s="2">
        <f t="shared" si="41"/>
        <v>0</v>
      </c>
      <c r="AS66" s="2">
        <f t="shared" si="41"/>
        <v>306539.54692759609</v>
      </c>
      <c r="AT66" s="2">
        <f t="shared" si="30"/>
        <v>766348.86731899017</v>
      </c>
      <c r="AU66" s="2">
        <f t="shared" si="31"/>
        <v>0</v>
      </c>
    </row>
    <row r="67" spans="1:47" x14ac:dyDescent="0.2">
      <c r="A67">
        <f t="shared" si="4"/>
        <v>2012</v>
      </c>
      <c r="B67" s="2">
        <f t="shared" si="34"/>
        <v>532551.1548773126</v>
      </c>
      <c r="C67" s="2"/>
      <c r="D67" s="2">
        <f t="shared" si="36"/>
        <v>0</v>
      </c>
      <c r="E67" s="2">
        <f t="shared" si="37"/>
        <v>0</v>
      </c>
      <c r="F67" s="2"/>
      <c r="G67" s="2">
        <f t="shared" si="33"/>
        <v>0</v>
      </c>
      <c r="H67" s="2">
        <f t="shared" si="15"/>
        <v>318954.3985781637</v>
      </c>
      <c r="I67" s="2">
        <f t="shared" si="16"/>
        <v>851505.5534554763</v>
      </c>
      <c r="J67" s="2">
        <f t="shared" si="17"/>
        <v>85156.686136486125</v>
      </c>
      <c r="K67" s="6">
        <f t="shared" si="18"/>
        <v>0.11111999999999991</v>
      </c>
      <c r="L67" s="7">
        <f t="shared" si="19"/>
        <v>1.1111199999999999</v>
      </c>
      <c r="O67">
        <f t="shared" si="20"/>
        <v>2012</v>
      </c>
      <c r="P67" s="6">
        <f t="shared" si="5"/>
        <v>0.62542299661602707</v>
      </c>
      <c r="Q67" s="7"/>
      <c r="R67" s="6">
        <f t="shared" si="5"/>
        <v>0</v>
      </c>
      <c r="S67" s="6">
        <f t="shared" si="5"/>
        <v>0</v>
      </c>
      <c r="T67" s="7"/>
      <c r="U67" s="6">
        <f t="shared" si="5"/>
        <v>0</v>
      </c>
      <c r="V67" s="6">
        <f t="shared" si="7"/>
        <v>0.37457700338397293</v>
      </c>
      <c r="W67" s="6">
        <f t="shared" si="21"/>
        <v>1</v>
      </c>
      <c r="X67" s="7">
        <f t="shared" si="22"/>
        <v>0.62542299661602707</v>
      </c>
      <c r="Y67" s="7">
        <f t="shared" si="23"/>
        <v>0</v>
      </c>
      <c r="Z67" s="6"/>
      <c r="AB67">
        <f t="shared" si="24"/>
        <v>2012</v>
      </c>
      <c r="AC67" s="1" t="b">
        <f t="shared" si="25"/>
        <v>0</v>
      </c>
      <c r="AE67" s="1" t="b">
        <f t="shared" si="38"/>
        <v>0</v>
      </c>
      <c r="AF67" s="1" t="b">
        <f t="shared" si="39"/>
        <v>0</v>
      </c>
      <c r="AH67" s="1" t="b">
        <f t="shared" si="32"/>
        <v>0</v>
      </c>
      <c r="AI67" s="1" t="b">
        <f t="shared" si="27"/>
        <v>0</v>
      </c>
      <c r="AJ67" s="1" t="b">
        <f t="shared" si="28"/>
        <v>1</v>
      </c>
      <c r="AL67">
        <f t="shared" si="29"/>
        <v>2012</v>
      </c>
      <c r="AM67" s="2">
        <f t="shared" si="40"/>
        <v>510903.33207328577</v>
      </c>
      <c r="AN67" s="2"/>
      <c r="AO67" s="2">
        <f t="shared" si="35"/>
        <v>0</v>
      </c>
      <c r="AP67" s="2">
        <f t="shared" si="35"/>
        <v>0</v>
      </c>
      <c r="AQ67" s="2"/>
      <c r="AR67" s="2">
        <f t="shared" si="41"/>
        <v>0</v>
      </c>
      <c r="AS67" s="2">
        <f t="shared" si="41"/>
        <v>340602.22138219053</v>
      </c>
      <c r="AT67" s="2">
        <f t="shared" si="30"/>
        <v>851505.5534554763</v>
      </c>
      <c r="AU67" s="2">
        <f t="shared" si="31"/>
        <v>0</v>
      </c>
    </row>
    <row r="68" spans="1:47" x14ac:dyDescent="0.2">
      <c r="A68">
        <f t="shared" si="4"/>
        <v>2013</v>
      </c>
      <c r="B68" s="2">
        <f t="shared" si="34"/>
        <v>675312.02433446923</v>
      </c>
      <c r="C68" s="2"/>
      <c r="D68" s="2">
        <f t="shared" si="36"/>
        <v>0</v>
      </c>
      <c r="E68" s="2">
        <f t="shared" si="37"/>
        <v>0</v>
      </c>
      <c r="F68" s="2"/>
      <c r="G68" s="2">
        <f t="shared" si="33"/>
        <v>0</v>
      </c>
      <c r="H68" s="2">
        <f t="shared" si="15"/>
        <v>332904.61117895303</v>
      </c>
      <c r="I68" s="2">
        <f t="shared" si="16"/>
        <v>1008216.6355134223</v>
      </c>
      <c r="J68" s="2">
        <f t="shared" si="17"/>
        <v>156711.08205794601</v>
      </c>
      <c r="K68" s="6">
        <f t="shared" si="18"/>
        <v>0.18404000000000018</v>
      </c>
      <c r="L68" s="7">
        <f t="shared" si="19"/>
        <v>1.1840400000000002</v>
      </c>
      <c r="O68">
        <f t="shared" si="20"/>
        <v>2013</v>
      </c>
      <c r="P68" s="6">
        <f t="shared" ref="P68:P72" si="42">B68/$I68</f>
        <v>0.66980845241714804</v>
      </c>
      <c r="Q68" s="7"/>
      <c r="R68" s="6">
        <f t="shared" ref="R68:S72" si="43">D68/$I68</f>
        <v>0</v>
      </c>
      <c r="S68" s="6">
        <f t="shared" si="43"/>
        <v>0</v>
      </c>
      <c r="T68" s="7"/>
      <c r="U68" s="6">
        <f t="shared" ref="U68:U72" si="44">G68/$I68</f>
        <v>0</v>
      </c>
      <c r="V68" s="6">
        <f t="shared" si="7"/>
        <v>0.33019154758285191</v>
      </c>
      <c r="W68" s="6">
        <f t="shared" si="21"/>
        <v>1</v>
      </c>
      <c r="X68" s="7">
        <f t="shared" si="22"/>
        <v>0.66980845241714804</v>
      </c>
      <c r="Y68" s="7">
        <f t="shared" si="23"/>
        <v>0</v>
      </c>
      <c r="Z68" s="6"/>
      <c r="AB68">
        <f t="shared" si="24"/>
        <v>2013</v>
      </c>
      <c r="AC68" s="1" t="b">
        <f t="shared" si="25"/>
        <v>0</v>
      </c>
      <c r="AE68" s="1" t="b">
        <f t="shared" si="38"/>
        <v>0</v>
      </c>
      <c r="AF68" s="1" t="b">
        <f t="shared" si="39"/>
        <v>0</v>
      </c>
      <c r="AH68" s="1" t="b">
        <f t="shared" si="32"/>
        <v>0</v>
      </c>
      <c r="AI68" s="39" t="b">
        <f t="shared" si="27"/>
        <v>1</v>
      </c>
      <c r="AJ68" s="1" t="b">
        <f t="shared" si="28"/>
        <v>1</v>
      </c>
      <c r="AL68">
        <f t="shared" si="29"/>
        <v>2013</v>
      </c>
      <c r="AM68" s="2">
        <f t="shared" si="40"/>
        <v>604929.98130805336</v>
      </c>
      <c r="AN68" s="2"/>
      <c r="AO68" s="2">
        <f t="shared" si="35"/>
        <v>0</v>
      </c>
      <c r="AP68" s="2">
        <f t="shared" si="35"/>
        <v>0</v>
      </c>
      <c r="AQ68" s="2"/>
      <c r="AR68" s="2">
        <f t="shared" si="41"/>
        <v>0</v>
      </c>
      <c r="AS68" s="2">
        <f t="shared" si="41"/>
        <v>403286.65420536895</v>
      </c>
      <c r="AT68" s="2">
        <f t="shared" si="30"/>
        <v>1008216.6355134223</v>
      </c>
      <c r="AU68" s="2">
        <f t="shared" si="31"/>
        <v>0</v>
      </c>
    </row>
    <row r="69" spans="1:47" x14ac:dyDescent="0.2">
      <c r="A69">
        <f t="shared" si="4"/>
        <v>2014</v>
      </c>
      <c r="B69" s="2">
        <f t="shared" si="34"/>
        <v>686656.02178277133</v>
      </c>
      <c r="C69" s="2"/>
      <c r="D69" s="2">
        <f t="shared" si="36"/>
        <v>0</v>
      </c>
      <c r="E69" s="2">
        <f t="shared" si="37"/>
        <v>0</v>
      </c>
      <c r="F69" s="2"/>
      <c r="G69" s="2">
        <f t="shared" si="33"/>
        <v>0</v>
      </c>
      <c r="H69" s="2">
        <f t="shared" si="15"/>
        <v>426515.96548759827</v>
      </c>
      <c r="I69" s="2">
        <f t="shared" si="16"/>
        <v>1113171.9872703697</v>
      </c>
      <c r="J69" s="2">
        <f t="shared" si="17"/>
        <v>104955.35175694735</v>
      </c>
      <c r="K69" s="6">
        <f t="shared" si="18"/>
        <v>0.10410000000000008</v>
      </c>
      <c r="L69" s="7">
        <f t="shared" si="19"/>
        <v>1.1041000000000001</v>
      </c>
      <c r="O69">
        <f t="shared" si="20"/>
        <v>2014</v>
      </c>
      <c r="P69" s="6">
        <f t="shared" si="42"/>
        <v>0.61684630015397146</v>
      </c>
      <c r="Q69" s="7"/>
      <c r="R69" s="6">
        <f t="shared" si="43"/>
        <v>0</v>
      </c>
      <c r="S69" s="6">
        <f t="shared" si="43"/>
        <v>0</v>
      </c>
      <c r="T69" s="7"/>
      <c r="U69" s="6">
        <f t="shared" si="44"/>
        <v>0</v>
      </c>
      <c r="V69" s="6">
        <f t="shared" si="7"/>
        <v>0.38315369984602848</v>
      </c>
      <c r="W69" s="6">
        <f t="shared" si="21"/>
        <v>1</v>
      </c>
      <c r="X69" s="7">
        <f t="shared" si="22"/>
        <v>0.61684630015397146</v>
      </c>
      <c r="Y69" s="7">
        <f t="shared" si="23"/>
        <v>0</v>
      </c>
      <c r="Z69" s="6"/>
      <c r="AB69">
        <f t="shared" si="24"/>
        <v>2014</v>
      </c>
      <c r="AC69" s="1" t="b">
        <f t="shared" si="25"/>
        <v>0</v>
      </c>
      <c r="AE69" s="1" t="b">
        <f t="shared" si="38"/>
        <v>0</v>
      </c>
      <c r="AF69" s="1" t="b">
        <f t="shared" si="39"/>
        <v>0</v>
      </c>
      <c r="AH69" s="1" t="b">
        <f t="shared" si="32"/>
        <v>0</v>
      </c>
      <c r="AI69" s="1" t="b">
        <f t="shared" si="27"/>
        <v>0</v>
      </c>
      <c r="AJ69" s="1" t="b">
        <f t="shared" si="28"/>
        <v>1</v>
      </c>
      <c r="AL69">
        <f t="shared" si="29"/>
        <v>2014</v>
      </c>
      <c r="AM69" s="2">
        <f t="shared" si="40"/>
        <v>667903.19236222177</v>
      </c>
      <c r="AN69" s="2"/>
      <c r="AO69" s="2">
        <f t="shared" si="35"/>
        <v>0</v>
      </c>
      <c r="AP69" s="2">
        <f t="shared" si="35"/>
        <v>0</v>
      </c>
      <c r="AQ69" s="2"/>
      <c r="AR69" s="2">
        <f t="shared" si="41"/>
        <v>0</v>
      </c>
      <c r="AS69" s="2">
        <f t="shared" si="41"/>
        <v>445268.79490814789</v>
      </c>
      <c r="AT69" s="2">
        <f t="shared" si="30"/>
        <v>1113171.9872703697</v>
      </c>
      <c r="AU69" s="2">
        <f t="shared" si="31"/>
        <v>0</v>
      </c>
    </row>
    <row r="70" spans="1:47" x14ac:dyDescent="0.2">
      <c r="A70">
        <f t="shared" si="4"/>
        <v>2015</v>
      </c>
      <c r="B70" s="2">
        <f t="shared" si="34"/>
        <v>676251.98226674949</v>
      </c>
      <c r="C70" s="2"/>
      <c r="D70" s="2">
        <f t="shared" si="36"/>
        <v>0</v>
      </c>
      <c r="E70" s="2">
        <f t="shared" si="37"/>
        <v>0</v>
      </c>
      <c r="F70" s="2"/>
      <c r="G70" s="2">
        <f t="shared" si="33"/>
        <v>0</v>
      </c>
      <c r="H70" s="2">
        <f t="shared" si="15"/>
        <v>446604.60129287228</v>
      </c>
      <c r="I70" s="2">
        <f t="shared" si="16"/>
        <v>1122856.5835596218</v>
      </c>
      <c r="J70" s="2">
        <f t="shared" si="17"/>
        <v>9684.5962892521638</v>
      </c>
      <c r="K70" s="6">
        <f t="shared" si="18"/>
        <v>8.6999999999999526E-3</v>
      </c>
      <c r="L70" s="7">
        <f t="shared" si="19"/>
        <v>1.0086999999999999</v>
      </c>
      <c r="O70">
        <f t="shared" si="20"/>
        <v>2015</v>
      </c>
      <c r="P70" s="6">
        <f t="shared" si="42"/>
        <v>0.60226033508476251</v>
      </c>
      <c r="Q70" s="7"/>
      <c r="R70" s="6">
        <f t="shared" si="43"/>
        <v>0</v>
      </c>
      <c r="S70" s="6">
        <f t="shared" si="43"/>
        <v>0</v>
      </c>
      <c r="T70" s="7"/>
      <c r="U70" s="6">
        <f t="shared" si="44"/>
        <v>0</v>
      </c>
      <c r="V70" s="6">
        <f t="shared" si="7"/>
        <v>0.39773966491523743</v>
      </c>
      <c r="W70" s="6">
        <f t="shared" ref="W70" si="45">SUM(P70:V70)</f>
        <v>1</v>
      </c>
      <c r="X70" s="7">
        <f t="shared" si="22"/>
        <v>0.60226033508476251</v>
      </c>
      <c r="Y70" s="7">
        <f t="shared" si="23"/>
        <v>0</v>
      </c>
      <c r="Z70" s="6"/>
      <c r="AB70">
        <f t="shared" si="24"/>
        <v>2015</v>
      </c>
      <c r="AC70" s="1" t="b">
        <f t="shared" si="25"/>
        <v>0</v>
      </c>
      <c r="AE70" s="1" t="b">
        <f t="shared" si="38"/>
        <v>0</v>
      </c>
      <c r="AF70" s="1" t="b">
        <f t="shared" si="39"/>
        <v>0</v>
      </c>
      <c r="AH70" s="1" t="b">
        <f t="shared" si="32"/>
        <v>0</v>
      </c>
      <c r="AI70" s="1" t="b">
        <f t="shared" si="27"/>
        <v>0</v>
      </c>
      <c r="AJ70" s="1" t="b">
        <f t="shared" si="28"/>
        <v>1</v>
      </c>
      <c r="AL70">
        <f t="shared" si="29"/>
        <v>2015</v>
      </c>
      <c r="AM70" s="2">
        <f t="shared" si="40"/>
        <v>673713.95013577305</v>
      </c>
      <c r="AN70" s="2"/>
      <c r="AO70" s="2">
        <f t="shared" ref="AO70:AP75" si="46">$I70*AO$42</f>
        <v>0</v>
      </c>
      <c r="AP70" s="2">
        <f t="shared" si="46"/>
        <v>0</v>
      </c>
      <c r="AQ70" s="2"/>
      <c r="AR70" s="2">
        <f t="shared" si="41"/>
        <v>0</v>
      </c>
      <c r="AS70" s="2">
        <f t="shared" si="41"/>
        <v>449142.63342384878</v>
      </c>
      <c r="AT70" s="2">
        <f t="shared" si="30"/>
        <v>1122856.5835596218</v>
      </c>
      <c r="AU70" s="2">
        <f t="shared" si="31"/>
        <v>0</v>
      </c>
    </row>
    <row r="71" spans="1:47" x14ac:dyDescent="0.2">
      <c r="A71">
        <f t="shared" si="4"/>
        <v>2016</v>
      </c>
      <c r="B71" s="2">
        <f t="shared" si="34"/>
        <v>753346.93904182152</v>
      </c>
      <c r="C71" s="2"/>
      <c r="D71" s="2">
        <f t="shared" si="36"/>
        <v>0</v>
      </c>
      <c r="E71" s="2">
        <f t="shared" si="37"/>
        <v>0</v>
      </c>
      <c r="F71" s="2"/>
      <c r="G71" s="2">
        <f t="shared" si="33"/>
        <v>0</v>
      </c>
      <c r="H71" s="2">
        <f t="shared" si="15"/>
        <v>460371.19925944495</v>
      </c>
      <c r="I71" s="2">
        <f t="shared" si="16"/>
        <v>1213718.1383012664</v>
      </c>
      <c r="J71" s="2">
        <f t="shared" si="17"/>
        <v>90861.554741644533</v>
      </c>
      <c r="K71" s="6">
        <f t="shared" si="18"/>
        <v>8.0919999999999936E-2</v>
      </c>
      <c r="L71" s="7">
        <f t="shared" si="19"/>
        <v>1.0809199999999999</v>
      </c>
      <c r="O71">
        <f t="shared" si="20"/>
        <v>2016</v>
      </c>
      <c r="P71" s="6">
        <f t="shared" si="42"/>
        <v>0.62069348332901608</v>
      </c>
      <c r="Q71" s="7"/>
      <c r="R71" s="6">
        <f t="shared" si="43"/>
        <v>0</v>
      </c>
      <c r="S71" s="6">
        <f t="shared" si="43"/>
        <v>0</v>
      </c>
      <c r="T71" s="7"/>
      <c r="U71" s="6">
        <f t="shared" si="44"/>
        <v>0</v>
      </c>
      <c r="V71" s="6">
        <f t="shared" si="7"/>
        <v>0.37930651667098403</v>
      </c>
      <c r="W71" s="6">
        <f t="shared" ref="W71:W72" si="47">SUM(P71:V71)</f>
        <v>1</v>
      </c>
      <c r="X71" s="7">
        <f t="shared" si="22"/>
        <v>0.62069348332901608</v>
      </c>
      <c r="Y71" s="7">
        <f t="shared" si="23"/>
        <v>0</v>
      </c>
      <c r="Z71" s="6"/>
      <c r="AB71">
        <f t="shared" si="24"/>
        <v>2016</v>
      </c>
      <c r="AC71" s="1" t="b">
        <f t="shared" si="25"/>
        <v>0</v>
      </c>
      <c r="AE71" s="1" t="b">
        <f t="shared" si="38"/>
        <v>0</v>
      </c>
      <c r="AF71" s="1" t="b">
        <f t="shared" si="39"/>
        <v>0</v>
      </c>
      <c r="AH71" s="1" t="b">
        <f t="shared" si="32"/>
        <v>0</v>
      </c>
      <c r="AI71" s="1" t="b">
        <f t="shared" si="27"/>
        <v>0</v>
      </c>
      <c r="AJ71" s="1" t="b">
        <f t="shared" si="28"/>
        <v>1</v>
      </c>
      <c r="AL71">
        <f t="shared" si="29"/>
        <v>2016</v>
      </c>
      <c r="AM71" s="2">
        <f t="shared" si="40"/>
        <v>728230.88298075984</v>
      </c>
      <c r="AN71" s="2"/>
      <c r="AO71" s="2">
        <f t="shared" si="46"/>
        <v>0</v>
      </c>
      <c r="AP71" s="2">
        <f t="shared" si="46"/>
        <v>0</v>
      </c>
      <c r="AQ71" s="2"/>
      <c r="AR71" s="2">
        <f t="shared" si="41"/>
        <v>0</v>
      </c>
      <c r="AS71" s="2">
        <f t="shared" si="41"/>
        <v>485487.25532050658</v>
      </c>
      <c r="AT71" s="2">
        <f t="shared" si="30"/>
        <v>1213718.1383012664</v>
      </c>
      <c r="AU71" s="2">
        <f t="shared" si="31"/>
        <v>0</v>
      </c>
    </row>
    <row r="72" spans="1:47" x14ac:dyDescent="0.2">
      <c r="A72">
        <f t="shared" si="4"/>
        <v>2017</v>
      </c>
      <c r="B72" s="2">
        <f t="shared" si="34"/>
        <v>886038.51532269036</v>
      </c>
      <c r="C72" s="2"/>
      <c r="D72" s="2">
        <f t="shared" si="36"/>
        <v>0</v>
      </c>
      <c r="E72" s="2">
        <f t="shared" si="37"/>
        <v>0</v>
      </c>
      <c r="F72" s="2"/>
      <c r="G72" s="2">
        <f t="shared" si="33"/>
        <v>0</v>
      </c>
      <c r="H72" s="2">
        <f t="shared" si="15"/>
        <v>502285.11435459607</v>
      </c>
      <c r="I72" s="2">
        <f t="shared" si="16"/>
        <v>1388323.6296772864</v>
      </c>
      <c r="J72" s="2">
        <f t="shared" si="17"/>
        <v>174605.49137602001</v>
      </c>
      <c r="K72" s="6">
        <f t="shared" si="18"/>
        <v>0.14385999999999988</v>
      </c>
      <c r="L72" s="7">
        <f t="shared" si="19"/>
        <v>1.1438599999999999</v>
      </c>
      <c r="O72">
        <f t="shared" si="20"/>
        <v>2017</v>
      </c>
      <c r="P72" s="6">
        <f t="shared" si="42"/>
        <v>0.63820747294249291</v>
      </c>
      <c r="Q72" s="7"/>
      <c r="R72" s="6">
        <f t="shared" si="43"/>
        <v>0</v>
      </c>
      <c r="S72" s="6">
        <f t="shared" si="43"/>
        <v>0</v>
      </c>
      <c r="T72" s="7"/>
      <c r="U72" s="6">
        <f t="shared" si="44"/>
        <v>0</v>
      </c>
      <c r="V72" s="6">
        <f t="shared" si="7"/>
        <v>0.36179252705750709</v>
      </c>
      <c r="W72" s="6">
        <f t="shared" si="47"/>
        <v>1</v>
      </c>
      <c r="X72" s="7">
        <f t="shared" si="22"/>
        <v>0.63820747294249291</v>
      </c>
      <c r="Y72" s="7">
        <f t="shared" si="23"/>
        <v>0</v>
      </c>
      <c r="Z72" s="6"/>
      <c r="AB72">
        <f t="shared" si="24"/>
        <v>2017</v>
      </c>
      <c r="AC72" s="1" t="b">
        <f t="shared" si="25"/>
        <v>0</v>
      </c>
      <c r="AE72" s="1" t="b">
        <f t="shared" si="38"/>
        <v>0</v>
      </c>
      <c r="AF72" s="1" t="b">
        <f t="shared" si="39"/>
        <v>0</v>
      </c>
      <c r="AH72" s="1" t="b">
        <f t="shared" si="32"/>
        <v>0</v>
      </c>
      <c r="AI72" s="1" t="b">
        <f t="shared" si="27"/>
        <v>0</v>
      </c>
      <c r="AJ72" s="1" t="b">
        <f t="shared" si="28"/>
        <v>1</v>
      </c>
      <c r="AL72">
        <f t="shared" si="29"/>
        <v>2017</v>
      </c>
      <c r="AM72" s="2">
        <f t="shared" si="40"/>
        <v>832994.17780637182</v>
      </c>
      <c r="AN72" s="2"/>
      <c r="AO72" s="2">
        <f t="shared" si="46"/>
        <v>0</v>
      </c>
      <c r="AP72" s="2">
        <f t="shared" si="46"/>
        <v>0</v>
      </c>
      <c r="AQ72" s="2"/>
      <c r="AR72" s="2">
        <f t="shared" si="41"/>
        <v>0</v>
      </c>
      <c r="AS72" s="2">
        <f t="shared" si="41"/>
        <v>555329.45187091455</v>
      </c>
      <c r="AT72" s="2">
        <f t="shared" si="30"/>
        <v>1388323.6296772864</v>
      </c>
      <c r="AU72" s="2">
        <f t="shared" si="31"/>
        <v>0</v>
      </c>
    </row>
    <row r="73" spans="1:47" x14ac:dyDescent="0.2">
      <c r="A73">
        <f t="shared" si="4"/>
        <v>2018</v>
      </c>
      <c r="B73" s="2">
        <f t="shared" si="34"/>
        <v>795509.43980508507</v>
      </c>
      <c r="C73" s="2"/>
      <c r="D73" s="2">
        <f t="shared" si="36"/>
        <v>0</v>
      </c>
      <c r="E73" s="2">
        <f t="shared" si="37"/>
        <v>0</v>
      </c>
      <c r="F73" s="2"/>
      <c r="G73" s="2">
        <f t="shared" si="33"/>
        <v>0</v>
      </c>
      <c r="H73" s="2">
        <f t="shared" si="15"/>
        <v>554774.12241904368</v>
      </c>
      <c r="I73" s="2">
        <f t="shared" ref="I73" si="48">SUM(B73:H73)</f>
        <v>1350283.5622241287</v>
      </c>
      <c r="J73" s="2">
        <f t="shared" ref="J73" si="49">I73-I72</f>
        <v>-38040.067453157622</v>
      </c>
      <c r="K73" s="6">
        <f t="shared" ref="K73" si="50">(J73/I72)</f>
        <v>-2.7399999999999983E-2</v>
      </c>
      <c r="L73" s="7">
        <f t="shared" ref="L73" si="51">K73+1</f>
        <v>0.97260000000000002</v>
      </c>
      <c r="O73">
        <f t="shared" ref="O73" si="52">A73</f>
        <v>2018</v>
      </c>
      <c r="P73" s="6">
        <f t="shared" ref="P73" si="53">B73/$I73</f>
        <v>0.58914250462677353</v>
      </c>
      <c r="Q73" s="7"/>
      <c r="R73" s="6">
        <f t="shared" ref="R73" si="54">D73/$I73</f>
        <v>0</v>
      </c>
      <c r="S73" s="6">
        <f t="shared" ref="S73" si="55">E73/$I73</f>
        <v>0</v>
      </c>
      <c r="T73" s="7"/>
      <c r="U73" s="6">
        <f t="shared" ref="U73" si="56">G73/$I73</f>
        <v>0</v>
      </c>
      <c r="V73" s="6">
        <f t="shared" ref="V73" si="57">H73/$I73</f>
        <v>0.41085749537322641</v>
      </c>
      <c r="W73" s="6">
        <f t="shared" ref="W73" si="58">SUM(P73:V73)</f>
        <v>1</v>
      </c>
      <c r="X73" s="7">
        <f t="shared" ref="X73" si="59">SUM(P73:U73)</f>
        <v>0.58914250462677353</v>
      </c>
      <c r="Y73" s="7">
        <f t="shared" ref="Y73" si="60">W73-(X73+V73)</f>
        <v>0</v>
      </c>
      <c r="Z73" s="6"/>
      <c r="AB73">
        <f t="shared" ref="AB73" si="61">O73</f>
        <v>2018</v>
      </c>
      <c r="AC73" s="1" t="b">
        <f t="shared" ref="AC73" si="62">AND((B73/$I73)&gt;0.15,(B73/$I73)&lt;0.25)</f>
        <v>0</v>
      </c>
      <c r="AE73" s="1" t="b">
        <f t="shared" ref="AE73" si="63">AND((D73/$I73)&gt;0.15,(D73/$I73)&lt;0.25)</f>
        <v>0</v>
      </c>
      <c r="AF73" s="1" t="b">
        <f t="shared" ref="AF73" si="64">AND((E73/$I73)&gt;0.05,(E73/$I73)&lt;0.15)</f>
        <v>0</v>
      </c>
      <c r="AH73" s="1" t="b">
        <f t="shared" ref="AH73" si="65">AND((G73/$I73)&gt;0.15,(G73/$I73)&lt;0.25)</f>
        <v>0</v>
      </c>
      <c r="AI73" s="1" t="b">
        <f t="shared" ref="AI73" si="66">AND((H73/$I73)&gt;0.25,(H73/$I73)&lt;0.35)</f>
        <v>0</v>
      </c>
      <c r="AJ73" s="1" t="b">
        <f t="shared" ref="AJ73" si="67">AND((I73/$I73)&gt;0.999,(I73/$I73)&lt;1.01)</f>
        <v>1</v>
      </c>
      <c r="AL73">
        <f t="shared" ref="AL73" si="68">A73</f>
        <v>2018</v>
      </c>
      <c r="AM73" s="2">
        <f t="shared" si="40"/>
        <v>810170.13733447727</v>
      </c>
      <c r="AN73" s="2"/>
      <c r="AO73" s="2">
        <f t="shared" si="46"/>
        <v>0</v>
      </c>
      <c r="AP73" s="2">
        <f t="shared" si="46"/>
        <v>0</v>
      </c>
      <c r="AQ73" s="2"/>
      <c r="AR73" s="2">
        <f t="shared" si="41"/>
        <v>0</v>
      </c>
      <c r="AS73" s="2">
        <f t="shared" si="41"/>
        <v>540113.42488965148</v>
      </c>
      <c r="AT73" s="2">
        <f t="shared" ref="AT73" si="69">I73</f>
        <v>1350283.5622241287</v>
      </c>
      <c r="AU73" s="2">
        <f t="shared" ref="AU73" si="70">AT73-I73</f>
        <v>0</v>
      </c>
    </row>
    <row r="74" spans="1:47" x14ac:dyDescent="0.2">
      <c r="A74">
        <f t="shared" ref="A74:A75" si="71">A35</f>
        <v>2019</v>
      </c>
      <c r="B74" s="2">
        <f t="shared" ref="B74:B75" si="72">AM73*(1+(B35/100))</f>
        <v>1065017.2557344104</v>
      </c>
      <c r="C74" s="2"/>
      <c r="D74" s="2">
        <f t="shared" ref="D74:E74" si="73">AO73*(1+(D35/100))</f>
        <v>0</v>
      </c>
      <c r="E74" s="2">
        <f t="shared" si="73"/>
        <v>0</v>
      </c>
      <c r="F74" s="2"/>
      <c r="G74" s="2">
        <f t="shared" ref="G74:H74" si="74">AR73*(1+(G35/100))</f>
        <v>0</v>
      </c>
      <c r="H74" s="2">
        <f t="shared" si="74"/>
        <v>587178.90873453568</v>
      </c>
      <c r="I74" s="2">
        <f t="shared" ref="I74:I75" si="75">SUM(B74:H74)</f>
        <v>1652196.1644689459</v>
      </c>
      <c r="J74" s="2">
        <f t="shared" ref="J74:J75" si="76">I74-I73</f>
        <v>301912.60224481719</v>
      </c>
      <c r="K74" s="6">
        <f t="shared" ref="K74:K75" si="77">(J74/I73)</f>
        <v>0.22359199999999985</v>
      </c>
      <c r="L74" s="7">
        <f t="shared" ref="L74:L75" si="78">K74+1</f>
        <v>1.2235919999999998</v>
      </c>
      <c r="O74">
        <f t="shared" ref="O74:O75" si="79">A74</f>
        <v>2019</v>
      </c>
      <c r="P74" s="6">
        <f t="shared" ref="P74:P75" si="80">B74/$I74</f>
        <v>0.64460702587136898</v>
      </c>
      <c r="Q74" s="7"/>
      <c r="R74" s="6">
        <f t="shared" ref="R74:R75" si="81">D74/$I74</f>
        <v>0</v>
      </c>
      <c r="S74" s="6">
        <f t="shared" ref="S74:S75" si="82">E74/$I74</f>
        <v>0</v>
      </c>
      <c r="T74" s="7"/>
      <c r="U74" s="6">
        <f t="shared" ref="U74:U75" si="83">G74/$I74</f>
        <v>0</v>
      </c>
      <c r="V74" s="6">
        <f t="shared" ref="V74:V75" si="84">H74/$I74</f>
        <v>0.35539297412863113</v>
      </c>
      <c r="W74" s="6">
        <f t="shared" ref="W74:W75" si="85">SUM(P74:V74)</f>
        <v>1</v>
      </c>
      <c r="X74" s="7">
        <f t="shared" ref="X74:X75" si="86">SUM(P74:U74)</f>
        <v>0.64460702587136898</v>
      </c>
      <c r="Y74" s="7">
        <f t="shared" ref="Y74:Y75" si="87">W74-(X74+V74)</f>
        <v>0</v>
      </c>
      <c r="Z74" s="6"/>
      <c r="AB74">
        <f t="shared" ref="AB74:AB75" si="88">O74</f>
        <v>2019</v>
      </c>
      <c r="AC74" s="1" t="b">
        <f t="shared" ref="AC74:AC75" si="89">AND((B74/$I74)&gt;0.15,(B74/$I74)&lt;0.25)</f>
        <v>0</v>
      </c>
      <c r="AE74" s="1" t="b">
        <f t="shared" ref="AE74:AE75" si="90">AND((D74/$I74)&gt;0.15,(D74/$I74)&lt;0.25)</f>
        <v>0</v>
      </c>
      <c r="AF74" s="1" t="b">
        <f t="shared" ref="AF74:AF75" si="91">AND((E74/$I74)&gt;0.05,(E74/$I74)&lt;0.15)</f>
        <v>0</v>
      </c>
      <c r="AH74" s="1" t="b">
        <f t="shared" ref="AH74:AH75" si="92">AND((G74/$I74)&gt;0.15,(G74/$I74)&lt;0.25)</f>
        <v>0</v>
      </c>
      <c r="AI74" s="1" t="b">
        <f t="shared" ref="AI74:AI75" si="93">AND((H74/$I74)&gt;0.25,(H74/$I74)&lt;0.35)</f>
        <v>0</v>
      </c>
      <c r="AJ74" s="1" t="b">
        <f t="shared" ref="AJ74:AJ75" si="94">AND((I74/$I74)&gt;0.999,(I74/$I74)&lt;1.01)</f>
        <v>1</v>
      </c>
      <c r="AL74">
        <f t="shared" ref="AL74:AL75" si="95">A74</f>
        <v>2019</v>
      </c>
      <c r="AM74" s="2">
        <f t="shared" si="40"/>
        <v>991317.69868136756</v>
      </c>
      <c r="AN74" s="2"/>
      <c r="AO74" s="2">
        <f t="shared" si="46"/>
        <v>0</v>
      </c>
      <c r="AP74" s="2">
        <f t="shared" si="46"/>
        <v>0</v>
      </c>
      <c r="AQ74" s="2"/>
      <c r="AR74" s="2">
        <f t="shared" si="41"/>
        <v>0</v>
      </c>
      <c r="AS74" s="2">
        <f t="shared" si="41"/>
        <v>660878.46578757837</v>
      </c>
      <c r="AT74" s="2">
        <f t="shared" ref="AT74:AT75" si="96">I74</f>
        <v>1652196.1644689459</v>
      </c>
      <c r="AU74" s="2">
        <f t="shared" ref="AU74:AU75" si="97">AT74-I74</f>
        <v>0</v>
      </c>
    </row>
    <row r="75" spans="1:47" x14ac:dyDescent="0.2">
      <c r="A75">
        <f t="shared" si="71"/>
        <v>2020</v>
      </c>
      <c r="B75" s="2">
        <f t="shared" si="72"/>
        <v>1173422.7599291347</v>
      </c>
      <c r="C75" s="2"/>
      <c r="D75" s="2">
        <f t="shared" ref="D75:E75" si="98">AO74*(1+(D36/100))</f>
        <v>0</v>
      </c>
      <c r="E75" s="2">
        <f t="shared" si="98"/>
        <v>0</v>
      </c>
      <c r="F75" s="2"/>
      <c r="G75" s="2">
        <f t="shared" ref="G75:H75" si="99">AR74*(1+(G36/100))</f>
        <v>0</v>
      </c>
      <c r="H75" s="2">
        <f t="shared" si="99"/>
        <v>711898.28334637941</v>
      </c>
      <c r="I75" s="2">
        <f t="shared" si="75"/>
        <v>1885321.0432755142</v>
      </c>
      <c r="J75" s="2">
        <f t="shared" si="76"/>
        <v>233124.87880656822</v>
      </c>
      <c r="K75" s="6">
        <f t="shared" si="77"/>
        <v>0.14109999999999998</v>
      </c>
      <c r="L75" s="7">
        <f t="shared" si="78"/>
        <v>1.1411</v>
      </c>
      <c r="O75">
        <f t="shared" si="79"/>
        <v>2020</v>
      </c>
      <c r="P75" s="6">
        <f t="shared" si="80"/>
        <v>0.62239943913767415</v>
      </c>
      <c r="Q75" s="7"/>
      <c r="R75" s="6">
        <f t="shared" si="81"/>
        <v>0</v>
      </c>
      <c r="S75" s="6">
        <f t="shared" si="82"/>
        <v>0</v>
      </c>
      <c r="T75" s="7"/>
      <c r="U75" s="6">
        <f t="shared" si="83"/>
        <v>0</v>
      </c>
      <c r="V75" s="6">
        <f t="shared" si="84"/>
        <v>0.37760056086232585</v>
      </c>
      <c r="W75" s="6">
        <f t="shared" si="85"/>
        <v>1</v>
      </c>
      <c r="X75" s="7">
        <f t="shared" si="86"/>
        <v>0.62239943913767415</v>
      </c>
      <c r="Y75" s="7">
        <f t="shared" si="87"/>
        <v>0</v>
      </c>
      <c r="Z75" s="6"/>
      <c r="AB75">
        <f t="shared" si="88"/>
        <v>2020</v>
      </c>
      <c r="AC75" s="1" t="b">
        <f t="shared" si="89"/>
        <v>0</v>
      </c>
      <c r="AE75" s="1" t="b">
        <f t="shared" si="90"/>
        <v>0</v>
      </c>
      <c r="AF75" s="1" t="b">
        <f t="shared" si="91"/>
        <v>0</v>
      </c>
      <c r="AH75" s="1" t="b">
        <f t="shared" si="92"/>
        <v>0</v>
      </c>
      <c r="AI75" s="1" t="b">
        <f t="shared" si="93"/>
        <v>0</v>
      </c>
      <c r="AJ75" s="1" t="b">
        <f t="shared" si="94"/>
        <v>1</v>
      </c>
      <c r="AL75">
        <f t="shared" si="95"/>
        <v>2020</v>
      </c>
      <c r="AM75" s="2">
        <f t="shared" si="40"/>
        <v>1131192.6259653084</v>
      </c>
      <c r="AN75" s="2"/>
      <c r="AO75" s="2">
        <f t="shared" si="46"/>
        <v>0</v>
      </c>
      <c r="AP75" s="2">
        <f t="shared" si="46"/>
        <v>0</v>
      </c>
      <c r="AQ75" s="2"/>
      <c r="AR75" s="2">
        <f t="shared" si="41"/>
        <v>0</v>
      </c>
      <c r="AS75" s="2">
        <f t="shared" si="41"/>
        <v>754128.41731020575</v>
      </c>
      <c r="AT75" s="2">
        <f t="shared" si="96"/>
        <v>1885321.0432755142</v>
      </c>
      <c r="AU75" s="2">
        <f t="shared" si="97"/>
        <v>0</v>
      </c>
    </row>
    <row r="76" spans="1:47" x14ac:dyDescent="0.2">
      <c r="A76" s="9" t="s">
        <v>94</v>
      </c>
      <c r="B76" s="10">
        <f>AM75</f>
        <v>1131192.6259653084</v>
      </c>
      <c r="C76" s="10"/>
      <c r="D76" s="10">
        <f>AO75</f>
        <v>0</v>
      </c>
      <c r="E76" s="10">
        <f>AP75</f>
        <v>0</v>
      </c>
      <c r="F76" s="10"/>
      <c r="G76" s="10">
        <f>AR75</f>
        <v>0</v>
      </c>
      <c r="H76" s="10">
        <f>AS75</f>
        <v>754128.41731020575</v>
      </c>
      <c r="I76" s="10">
        <f>AT75</f>
        <v>1885321.0432755142</v>
      </c>
      <c r="J76" s="10"/>
      <c r="K76" s="10"/>
      <c r="O76" s="74" t="s">
        <v>132</v>
      </c>
      <c r="P76" s="88">
        <f>P75</f>
        <v>0.62239943913767415</v>
      </c>
      <c r="Q76" s="74"/>
      <c r="R76" s="88">
        <f>R75</f>
        <v>0</v>
      </c>
      <c r="S76" s="74"/>
      <c r="T76" s="74"/>
      <c r="U76" s="88">
        <f>U75</f>
        <v>0</v>
      </c>
      <c r="V76" s="88">
        <f>V75</f>
        <v>0.37760056086232585</v>
      </c>
      <c r="W76" s="88">
        <f>W75</f>
        <v>1</v>
      </c>
      <c r="X76" s="88">
        <f>X75</f>
        <v>0.62239943913767415</v>
      </c>
      <c r="Y76" s="88">
        <f>Y75</f>
        <v>0</v>
      </c>
      <c r="AM76" s="22">
        <f>AM72/AT72</f>
        <v>0.6</v>
      </c>
      <c r="AO76" s="22"/>
      <c r="AP76" s="22"/>
      <c r="AR76" s="22"/>
      <c r="AS76" s="22">
        <f>AS72/AT72</f>
        <v>0.4</v>
      </c>
    </row>
    <row r="77" spans="1:47" x14ac:dyDescent="0.2">
      <c r="A77" s="11" t="s">
        <v>133</v>
      </c>
      <c r="I77" s="6">
        <f>(I76-I42)/I42</f>
        <v>17.853210432755141</v>
      </c>
      <c r="K77" s="6"/>
      <c r="R77" s="7"/>
      <c r="AO77" s="2"/>
    </row>
    <row r="78" spans="1:47" x14ac:dyDescent="0.2">
      <c r="A78" s="1" t="s">
        <v>96</v>
      </c>
      <c r="I78" s="29">
        <f>STDEV(L43:L75)</f>
        <v>0.10740840465943459</v>
      </c>
      <c r="K78" s="30"/>
      <c r="S78" s="89"/>
      <c r="T78" s="89"/>
      <c r="U78" s="90" t="s">
        <v>134</v>
      </c>
      <c r="V78" s="89" t="b">
        <f>IF((V75=V76),TRUE,FALSE)</f>
        <v>1</v>
      </c>
      <c r="W78" s="89"/>
      <c r="X78" s="91" t="b">
        <f>IF(((SUM(P75:U75))=X76),TRUE,FALSE)</f>
        <v>1</v>
      </c>
    </row>
    <row r="79" spans="1:47" x14ac:dyDescent="0.2">
      <c r="A79" s="1" t="s">
        <v>135</v>
      </c>
      <c r="I79" s="13">
        <f>((1+I77)^(1/I84))-1</f>
        <v>9.3070163270336348E-2</v>
      </c>
      <c r="K79" s="30"/>
    </row>
    <row r="80" spans="1:47" x14ac:dyDescent="0.2">
      <c r="A80" s="1" t="s">
        <v>98</v>
      </c>
      <c r="I80" s="31">
        <f>J63</f>
        <v>-141083.88225850207</v>
      </c>
    </row>
    <row r="81" spans="1:9" x14ac:dyDescent="0.2">
      <c r="A81" s="1" t="s">
        <v>136</v>
      </c>
      <c r="I81" s="32">
        <f>K63</f>
        <v>-0.20191999999999999</v>
      </c>
    </row>
    <row r="82" spans="1:9" x14ac:dyDescent="0.2">
      <c r="A82" s="3" t="s">
        <v>137</v>
      </c>
      <c r="I82" s="33">
        <f>I75-I76</f>
        <v>0</v>
      </c>
    </row>
    <row r="83" spans="1:9" x14ac:dyDescent="0.2">
      <c r="A83" s="3" t="s">
        <v>138</v>
      </c>
      <c r="I83" s="33">
        <f>((SUM(J43:J75))-(I76-I42))</f>
        <v>0</v>
      </c>
    </row>
    <row r="84" spans="1:9" x14ac:dyDescent="0.2">
      <c r="A84" s="3" t="s">
        <v>139</v>
      </c>
      <c r="I84" s="3">
        <f>COUNTA(I43:I75)</f>
        <v>33</v>
      </c>
    </row>
    <row r="85" spans="1:9" x14ac:dyDescent="0.2">
      <c r="A85" s="95" t="s">
        <v>100</v>
      </c>
      <c r="B85" s="63"/>
      <c r="C85" s="63"/>
      <c r="D85" s="63"/>
      <c r="E85" s="63"/>
      <c r="G85" s="63"/>
      <c r="H85" s="63"/>
      <c r="I85" s="94">
        <f>X76</f>
        <v>0.62239943913767415</v>
      </c>
    </row>
    <row r="86" spans="1:9" x14ac:dyDescent="0.2">
      <c r="A86" s="95" t="s">
        <v>179</v>
      </c>
      <c r="B86" s="2"/>
      <c r="D86" s="2"/>
      <c r="E86" s="2"/>
      <c r="G86" s="2"/>
      <c r="H86" s="2"/>
      <c r="I86" s="94">
        <f>V76</f>
        <v>0.37760056086232585</v>
      </c>
    </row>
    <row r="87" spans="1:9" x14ac:dyDescent="0.2">
      <c r="B87" s="2"/>
      <c r="D87" s="2"/>
      <c r="E87" s="2"/>
      <c r="G87" s="2"/>
      <c r="H87" s="2"/>
      <c r="I87" s="2"/>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86"/>
  <sheetViews>
    <sheetView topLeftCell="A51" zoomScale="120" zoomScaleNormal="120" workbookViewId="0">
      <selection activeCell="A74" sqref="A74:XFD75"/>
    </sheetView>
  </sheetViews>
  <sheetFormatPr baseColWidth="10" defaultColWidth="8.83203125" defaultRowHeight="15" x14ac:dyDescent="0.2"/>
  <cols>
    <col min="1" max="1" width="25.5" customWidth="1"/>
    <col min="2" max="2" width="11" customWidth="1"/>
    <col min="3" max="4" width="9.33203125" bestFit="1" customWidth="1"/>
    <col min="5" max="5" width="9.5" bestFit="1" customWidth="1"/>
    <col min="7" max="7" width="9.83203125" bestFit="1" customWidth="1"/>
    <col min="8" max="8" width="9.33203125" bestFit="1" customWidth="1"/>
    <col min="9" max="9" width="11.6640625" customWidth="1"/>
    <col min="10" max="10" width="10" bestFit="1" customWidth="1"/>
  </cols>
  <sheetData>
    <row r="1" spans="1:8" x14ac:dyDescent="0.2">
      <c r="A1" s="20" t="s">
        <v>104</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25"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25" x14ac:dyDescent="0.2">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25" x14ac:dyDescent="0.2">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6" spans="1:25" x14ac:dyDescent="0.2">
      <c r="A36" s="17">
        <f>'Non-Rebalanced Portfolio'!A36</f>
        <v>2020</v>
      </c>
      <c r="B36" s="17">
        <f>'Non-Rebalanced Portfolio'!B36</f>
        <v>18.37</v>
      </c>
      <c r="C36" s="19"/>
      <c r="D36" s="17">
        <f>'Non-Rebalanced Portfolio'!D36</f>
        <v>18.239999999999998</v>
      </c>
      <c r="E36" s="17">
        <f>'Non-Rebalanced Portfolio'!E36</f>
        <v>19.11</v>
      </c>
      <c r="F36" s="19"/>
      <c r="G36" s="17">
        <f>'Non-Rebalanced Portfolio'!G36</f>
        <v>11.28</v>
      </c>
      <c r="H36" s="17">
        <f>'Non-Rebalanced Portfolio'!H36</f>
        <v>7.72</v>
      </c>
    </row>
    <row r="39" spans="1:25" x14ac:dyDescent="0.2">
      <c r="A39" s="20" t="s">
        <v>119</v>
      </c>
      <c r="O39" s="20" t="s">
        <v>120</v>
      </c>
    </row>
    <row r="40" spans="1:25" x14ac:dyDescent="0.2">
      <c r="B40" s="4" t="str">
        <f t="shared" ref="B40:H41" si="0">B2</f>
        <v>LC Stocks</v>
      </c>
      <c r="C40" s="4" t="str">
        <f t="shared" si="0"/>
        <v>Ext Mkt</v>
      </c>
      <c r="D40" s="4" t="str">
        <f t="shared" si="0"/>
        <v>Mcap Stk</v>
      </c>
      <c r="E40" s="4" t="str">
        <f t="shared" si="0"/>
        <v>Small Cap</v>
      </c>
      <c r="F40" s="4" t="str">
        <f t="shared" si="0"/>
        <v>Intl Val</v>
      </c>
      <c r="G40" s="4" t="str">
        <f t="shared" si="0"/>
        <v>Tot Int Stk</v>
      </c>
      <c r="H40" s="4" t="str">
        <f t="shared" si="0"/>
        <v>Bonds</v>
      </c>
      <c r="I40" s="5"/>
      <c r="J40" s="5" t="s">
        <v>121</v>
      </c>
      <c r="K40" s="5" t="s">
        <v>122</v>
      </c>
      <c r="L40" s="5" t="s">
        <v>123</v>
      </c>
      <c r="P40" s="4" t="str">
        <f>B40</f>
        <v>LC Stocks</v>
      </c>
      <c r="Q40" s="4" t="str">
        <f t="shared" ref="Q40:V41" si="1">C40</f>
        <v>Ext Mkt</v>
      </c>
      <c r="R40" s="4" t="str">
        <f t="shared" si="1"/>
        <v>Mcap Stk</v>
      </c>
      <c r="S40" s="4" t="str">
        <f t="shared" si="1"/>
        <v>Small Cap</v>
      </c>
      <c r="T40" s="4" t="str">
        <f t="shared" si="1"/>
        <v>Intl Val</v>
      </c>
      <c r="U40" s="4" t="str">
        <f t="shared" si="1"/>
        <v>Tot Int Stk</v>
      </c>
      <c r="V40" s="4" t="str">
        <f t="shared" si="1"/>
        <v>Bonds</v>
      </c>
      <c r="W40" s="5"/>
      <c r="X40" s="5" t="s">
        <v>124</v>
      </c>
      <c r="Y40" s="3" t="s">
        <v>125</v>
      </c>
    </row>
    <row r="41" spans="1:25" x14ac:dyDescent="0.2">
      <c r="A41" t="s">
        <v>126</v>
      </c>
      <c r="B41" s="4" t="str">
        <f t="shared" si="0"/>
        <v>VFIAX</v>
      </c>
      <c r="C41" s="4" t="str">
        <f t="shared" si="0"/>
        <v>VEXMX</v>
      </c>
      <c r="D41" s="4" t="str">
        <f t="shared" si="0"/>
        <v>VIMAX</v>
      </c>
      <c r="E41" s="4" t="str">
        <f t="shared" si="0"/>
        <v>VSMAX</v>
      </c>
      <c r="F41" s="4" t="str">
        <f t="shared" si="0"/>
        <v>VTRIX</v>
      </c>
      <c r="G41" s="4" t="str">
        <f t="shared" si="0"/>
        <v>VTIAX</v>
      </c>
      <c r="H41" s="4" t="str">
        <f t="shared" si="0"/>
        <v>VBTLX</v>
      </c>
      <c r="I41" s="5" t="s">
        <v>67</v>
      </c>
      <c r="J41" s="5" t="s">
        <v>127</v>
      </c>
      <c r="K41" s="5" t="s">
        <v>128</v>
      </c>
      <c r="L41" s="5" t="s">
        <v>128</v>
      </c>
      <c r="O41" t="s">
        <v>126</v>
      </c>
      <c r="P41" s="4" t="str">
        <f>B41</f>
        <v>VFIAX</v>
      </c>
      <c r="Q41" s="4" t="str">
        <f t="shared" si="1"/>
        <v>VEXMX</v>
      </c>
      <c r="R41" s="4" t="str">
        <f t="shared" si="1"/>
        <v>VIMAX</v>
      </c>
      <c r="S41" s="4" t="str">
        <f t="shared" si="1"/>
        <v>VSMAX</v>
      </c>
      <c r="T41" s="4" t="str">
        <f t="shared" si="1"/>
        <v>VTRIX</v>
      </c>
      <c r="U41" s="4" t="str">
        <f t="shared" si="1"/>
        <v>VTIAX</v>
      </c>
      <c r="V41" s="4" t="str">
        <f t="shared" si="1"/>
        <v>VBTLX</v>
      </c>
      <c r="W41" s="5" t="s">
        <v>67</v>
      </c>
      <c r="X41" s="5" t="s">
        <v>125</v>
      </c>
      <c r="Y41" s="3" t="s">
        <v>129</v>
      </c>
    </row>
    <row r="42" spans="1:25" x14ac:dyDescent="0.2">
      <c r="A42" t="s">
        <v>130</v>
      </c>
      <c r="B42" s="31">
        <v>100000</v>
      </c>
      <c r="C42" s="31">
        <v>0</v>
      </c>
      <c r="F42" s="31">
        <v>0</v>
      </c>
      <c r="H42" s="31">
        <v>0</v>
      </c>
      <c r="I42" s="2">
        <f>SUM(B42:H42)</f>
        <v>100000</v>
      </c>
      <c r="O42" s="21" t="s">
        <v>131</v>
      </c>
      <c r="P42" s="22">
        <f>B42/$I42</f>
        <v>1</v>
      </c>
      <c r="Q42" s="22">
        <f>C42/$I42</f>
        <v>0</v>
      </c>
      <c r="R42" s="23">
        <v>0</v>
      </c>
      <c r="S42" s="23">
        <v>0</v>
      </c>
      <c r="T42" s="22">
        <f>F42/$I42</f>
        <v>0</v>
      </c>
      <c r="U42" s="23">
        <v>0</v>
      </c>
      <c r="V42" s="22">
        <f>H42/$I42</f>
        <v>0</v>
      </c>
      <c r="W42" s="6">
        <f>I42/$I42</f>
        <v>1</v>
      </c>
      <c r="X42" s="24"/>
    </row>
    <row r="43" spans="1:25" x14ac:dyDescent="0.2">
      <c r="A43">
        <f t="shared" ref="A43:A73" si="2">A4</f>
        <v>1988</v>
      </c>
      <c r="B43" s="2">
        <f t="shared" ref="B43:B53" si="3">B42*(1+(B4/100))</f>
        <v>116219.99999999999</v>
      </c>
      <c r="C43" s="2">
        <f t="shared" ref="C43:C53" si="4">C42*(1+(C4/100))</f>
        <v>0</v>
      </c>
      <c r="D43" s="2"/>
      <c r="E43" s="2"/>
      <c r="F43" s="2">
        <f t="shared" ref="F43:F51" si="5">F42*(1+(F4/100))</f>
        <v>0</v>
      </c>
      <c r="G43" s="2"/>
      <c r="H43" s="2">
        <f t="shared" ref="H43:H73" si="6">H42*(1+(H4/100))</f>
        <v>0</v>
      </c>
      <c r="I43" s="2">
        <f>SUM(B43:H43)</f>
        <v>116219.99999999999</v>
      </c>
      <c r="J43" s="2">
        <f>I43-I42</f>
        <v>16219.999999999985</v>
      </c>
      <c r="K43" s="6">
        <f>(J43/I42)</f>
        <v>0.16219999999999984</v>
      </c>
      <c r="L43" s="7">
        <f>K43+1</f>
        <v>1.1621999999999999</v>
      </c>
      <c r="O43">
        <f>A43</f>
        <v>1988</v>
      </c>
      <c r="P43" s="6">
        <f t="shared" ref="P43:U69" si="7">B43/$I43</f>
        <v>1</v>
      </c>
      <c r="Q43" s="6">
        <f t="shared" si="7"/>
        <v>0</v>
      </c>
      <c r="R43" s="7"/>
      <c r="S43" s="7"/>
      <c r="T43" s="6">
        <f t="shared" ref="T43:T51" si="8">F43/$I43</f>
        <v>0</v>
      </c>
      <c r="U43" s="7"/>
      <c r="V43" s="6">
        <f t="shared" ref="V43:V72" si="9">H43/$I43</f>
        <v>0</v>
      </c>
      <c r="W43" s="6">
        <f>SUM(P43:V43)</f>
        <v>1</v>
      </c>
      <c r="X43" s="7">
        <f>SUM(P43:U43)</f>
        <v>1</v>
      </c>
      <c r="Y43" s="7">
        <f>W43-(X43+V43)</f>
        <v>0</v>
      </c>
    </row>
    <row r="44" spans="1:25" x14ac:dyDescent="0.2">
      <c r="A44">
        <f t="shared" si="2"/>
        <v>1989</v>
      </c>
      <c r="B44" s="2">
        <f t="shared" si="3"/>
        <v>152666.592</v>
      </c>
      <c r="C44" s="2">
        <f t="shared" si="4"/>
        <v>0</v>
      </c>
      <c r="D44" s="2"/>
      <c r="E44" s="2"/>
      <c r="F44" s="2">
        <f t="shared" si="5"/>
        <v>0</v>
      </c>
      <c r="G44" s="2"/>
      <c r="H44" s="2">
        <f t="shared" si="6"/>
        <v>0</v>
      </c>
      <c r="I44" s="2">
        <f t="shared" ref="I44:I51" si="10">SUM(B44:H44)</f>
        <v>152666.592</v>
      </c>
      <c r="J44" s="2">
        <f t="shared" ref="J44:J72" si="11">I44-I43</f>
        <v>36446.592000000019</v>
      </c>
      <c r="K44" s="6">
        <f t="shared" ref="K44:K67" si="12">(J44/I43)</f>
        <v>0.31360000000000021</v>
      </c>
      <c r="L44" s="7">
        <f t="shared" ref="L44:L72" si="13">K44+1</f>
        <v>1.3136000000000001</v>
      </c>
      <c r="O44">
        <f t="shared" ref="O44:O72" si="14">A44</f>
        <v>1989</v>
      </c>
      <c r="P44" s="6">
        <f t="shared" si="7"/>
        <v>1</v>
      </c>
      <c r="Q44" s="6">
        <f t="shared" si="7"/>
        <v>0</v>
      </c>
      <c r="R44" s="7"/>
      <c r="S44" s="7"/>
      <c r="T44" s="6">
        <f t="shared" si="8"/>
        <v>0</v>
      </c>
      <c r="U44" s="7"/>
      <c r="V44" s="6">
        <f t="shared" si="9"/>
        <v>0</v>
      </c>
      <c r="W44" s="6">
        <f t="shared" ref="W44:W70" si="15">SUM(P44:V44)</f>
        <v>1</v>
      </c>
      <c r="X44" s="7">
        <f t="shared" ref="X44:X70" si="16">SUM(P44:U44)</f>
        <v>1</v>
      </c>
      <c r="Y44" s="7">
        <f t="shared" ref="Y44:Y72" si="17">W44-(X44+V44)</f>
        <v>0</v>
      </c>
    </row>
    <row r="45" spans="1:25" x14ac:dyDescent="0.2">
      <c r="A45">
        <f t="shared" si="2"/>
        <v>1990</v>
      </c>
      <c r="B45" s="2">
        <f t="shared" si="3"/>
        <v>147598.06114559999</v>
      </c>
      <c r="C45" s="2">
        <f t="shared" si="4"/>
        <v>0</v>
      </c>
      <c r="D45" s="2"/>
      <c r="E45" s="2"/>
      <c r="F45" s="2">
        <f t="shared" si="5"/>
        <v>0</v>
      </c>
      <c r="G45" s="2"/>
      <c r="H45" s="2">
        <f t="shared" si="6"/>
        <v>0</v>
      </c>
      <c r="I45" s="2">
        <f t="shared" si="10"/>
        <v>147598.06114559999</v>
      </c>
      <c r="J45" s="2">
        <f t="shared" si="11"/>
        <v>-5068.5308544000145</v>
      </c>
      <c r="K45" s="6">
        <f t="shared" si="12"/>
        <v>-3.3200000000000097E-2</v>
      </c>
      <c r="L45" s="7">
        <f t="shared" si="13"/>
        <v>0.96679999999999988</v>
      </c>
      <c r="O45">
        <f t="shared" si="14"/>
        <v>1990</v>
      </c>
      <c r="P45" s="6">
        <f t="shared" si="7"/>
        <v>1</v>
      </c>
      <c r="Q45" s="6">
        <f t="shared" si="7"/>
        <v>0</v>
      </c>
      <c r="R45" s="7"/>
      <c r="S45" s="7"/>
      <c r="T45" s="6">
        <f t="shared" si="8"/>
        <v>0</v>
      </c>
      <c r="U45" s="7"/>
      <c r="V45" s="6">
        <f t="shared" si="9"/>
        <v>0</v>
      </c>
      <c r="W45" s="6">
        <f t="shared" si="15"/>
        <v>1</v>
      </c>
      <c r="X45" s="7">
        <f t="shared" si="16"/>
        <v>1</v>
      </c>
      <c r="Y45" s="7">
        <f t="shared" si="17"/>
        <v>0</v>
      </c>
    </row>
    <row r="46" spans="1:25" x14ac:dyDescent="0.2">
      <c r="A46">
        <f t="shared" si="2"/>
        <v>1991</v>
      </c>
      <c r="B46" s="2">
        <f t="shared" si="3"/>
        <v>192202.19522380031</v>
      </c>
      <c r="C46" s="2">
        <f t="shared" si="4"/>
        <v>0</v>
      </c>
      <c r="D46" s="2"/>
      <c r="E46" s="2"/>
      <c r="F46" s="2">
        <f t="shared" si="5"/>
        <v>0</v>
      </c>
      <c r="G46" s="2"/>
      <c r="H46" s="2">
        <f t="shared" si="6"/>
        <v>0</v>
      </c>
      <c r="I46" s="2">
        <f t="shared" si="10"/>
        <v>192202.19522380031</v>
      </c>
      <c r="J46" s="2">
        <f t="shared" si="11"/>
        <v>44604.134078200324</v>
      </c>
      <c r="K46" s="6">
        <f t="shared" si="12"/>
        <v>0.30220000000000002</v>
      </c>
      <c r="L46" s="7">
        <f t="shared" si="13"/>
        <v>1.3022</v>
      </c>
      <c r="O46">
        <f t="shared" si="14"/>
        <v>1991</v>
      </c>
      <c r="P46" s="6">
        <f t="shared" si="7"/>
        <v>1</v>
      </c>
      <c r="Q46" s="6">
        <f t="shared" si="7"/>
        <v>0</v>
      </c>
      <c r="R46" s="7"/>
      <c r="S46" s="7"/>
      <c r="T46" s="6">
        <f t="shared" si="8"/>
        <v>0</v>
      </c>
      <c r="U46" s="7"/>
      <c r="V46" s="6">
        <f t="shared" si="9"/>
        <v>0</v>
      </c>
      <c r="W46" s="6">
        <f t="shared" si="15"/>
        <v>1</v>
      </c>
      <c r="X46" s="7">
        <f t="shared" si="16"/>
        <v>1</v>
      </c>
      <c r="Y46" s="7">
        <f t="shared" si="17"/>
        <v>0</v>
      </c>
    </row>
    <row r="47" spans="1:25" x14ac:dyDescent="0.2">
      <c r="A47">
        <f t="shared" si="2"/>
        <v>1992</v>
      </c>
      <c r="B47" s="2">
        <f t="shared" si="3"/>
        <v>206463.5981094063</v>
      </c>
      <c r="C47" s="2">
        <f t="shared" si="4"/>
        <v>0</v>
      </c>
      <c r="D47" s="2"/>
      <c r="E47" s="2"/>
      <c r="F47" s="2">
        <f t="shared" si="5"/>
        <v>0</v>
      </c>
      <c r="G47" s="2"/>
      <c r="H47" s="2">
        <f t="shared" si="6"/>
        <v>0</v>
      </c>
      <c r="I47" s="2">
        <f t="shared" si="10"/>
        <v>206463.5981094063</v>
      </c>
      <c r="J47" s="2">
        <f t="shared" si="11"/>
        <v>14261.402885605989</v>
      </c>
      <c r="K47" s="6">
        <f t="shared" si="12"/>
        <v>7.420000000000003E-2</v>
      </c>
      <c r="L47" s="7">
        <f t="shared" si="13"/>
        <v>1.0742</v>
      </c>
      <c r="O47">
        <f t="shared" si="14"/>
        <v>1992</v>
      </c>
      <c r="P47" s="6">
        <f t="shared" si="7"/>
        <v>1</v>
      </c>
      <c r="Q47" s="6">
        <f t="shared" si="7"/>
        <v>0</v>
      </c>
      <c r="R47" s="7"/>
      <c r="S47" s="7"/>
      <c r="T47" s="6">
        <f t="shared" si="8"/>
        <v>0</v>
      </c>
      <c r="U47" s="7"/>
      <c r="V47" s="6">
        <f t="shared" si="9"/>
        <v>0</v>
      </c>
      <c r="W47" s="6">
        <f t="shared" si="15"/>
        <v>1</v>
      </c>
      <c r="X47" s="7">
        <f t="shared" si="16"/>
        <v>1</v>
      </c>
      <c r="Y47" s="7">
        <f t="shared" si="17"/>
        <v>0</v>
      </c>
    </row>
    <row r="48" spans="1:25" x14ac:dyDescent="0.2">
      <c r="A48">
        <f t="shared" si="2"/>
        <v>1993</v>
      </c>
      <c r="B48" s="2">
        <f t="shared" si="3"/>
        <v>226882.84796242657</v>
      </c>
      <c r="C48" s="2">
        <f t="shared" si="4"/>
        <v>0</v>
      </c>
      <c r="D48" s="2"/>
      <c r="E48" s="2"/>
      <c r="F48" s="2">
        <f t="shared" si="5"/>
        <v>0</v>
      </c>
      <c r="G48" s="2"/>
      <c r="H48" s="2">
        <f t="shared" si="6"/>
        <v>0</v>
      </c>
      <c r="I48" s="2">
        <f t="shared" si="10"/>
        <v>226882.84796242657</v>
      </c>
      <c r="J48" s="2">
        <f t="shared" si="11"/>
        <v>20419.249853020272</v>
      </c>
      <c r="K48" s="6">
        <f t="shared" si="12"/>
        <v>9.8899999999999946E-2</v>
      </c>
      <c r="L48" s="7">
        <f t="shared" si="13"/>
        <v>1.0989</v>
      </c>
      <c r="O48">
        <f t="shared" si="14"/>
        <v>1993</v>
      </c>
      <c r="P48" s="6">
        <f t="shared" si="7"/>
        <v>1</v>
      </c>
      <c r="Q48" s="6">
        <f t="shared" si="7"/>
        <v>0</v>
      </c>
      <c r="R48" s="7"/>
      <c r="S48" s="7"/>
      <c r="T48" s="6">
        <f t="shared" si="8"/>
        <v>0</v>
      </c>
      <c r="U48" s="7"/>
      <c r="V48" s="6">
        <f t="shared" si="9"/>
        <v>0</v>
      </c>
      <c r="W48" s="6">
        <f t="shared" si="15"/>
        <v>1</v>
      </c>
      <c r="X48" s="7">
        <f t="shared" si="16"/>
        <v>1</v>
      </c>
      <c r="Y48" s="7">
        <f t="shared" si="17"/>
        <v>0</v>
      </c>
    </row>
    <row r="49" spans="1:25" x14ac:dyDescent="0.2">
      <c r="A49">
        <f t="shared" si="2"/>
        <v>1994</v>
      </c>
      <c r="B49" s="2">
        <f t="shared" si="3"/>
        <v>229560.06556838323</v>
      </c>
      <c r="C49" s="2">
        <f t="shared" si="4"/>
        <v>0</v>
      </c>
      <c r="D49" s="2"/>
      <c r="E49" s="2"/>
      <c r="F49" s="2">
        <f t="shared" si="5"/>
        <v>0</v>
      </c>
      <c r="G49" s="2"/>
      <c r="H49" s="2">
        <f t="shared" si="6"/>
        <v>0</v>
      </c>
      <c r="I49" s="2">
        <f t="shared" si="10"/>
        <v>229560.06556838323</v>
      </c>
      <c r="J49" s="2">
        <f t="shared" si="11"/>
        <v>2677.2176059566555</v>
      </c>
      <c r="K49" s="6">
        <f t="shared" si="12"/>
        <v>1.1800000000000097E-2</v>
      </c>
      <c r="L49" s="7">
        <f t="shared" si="13"/>
        <v>1.0118</v>
      </c>
      <c r="O49">
        <f t="shared" si="14"/>
        <v>1994</v>
      </c>
      <c r="P49" s="6">
        <f t="shared" si="7"/>
        <v>1</v>
      </c>
      <c r="Q49" s="6">
        <f t="shared" si="7"/>
        <v>0</v>
      </c>
      <c r="R49" s="7"/>
      <c r="S49" s="7"/>
      <c r="T49" s="6">
        <f t="shared" si="8"/>
        <v>0</v>
      </c>
      <c r="U49" s="7"/>
      <c r="V49" s="6">
        <f t="shared" si="9"/>
        <v>0</v>
      </c>
      <c r="W49" s="6">
        <f t="shared" si="15"/>
        <v>1</v>
      </c>
      <c r="X49" s="7">
        <f t="shared" si="16"/>
        <v>1</v>
      </c>
      <c r="Y49" s="7">
        <f t="shared" si="17"/>
        <v>0</v>
      </c>
    </row>
    <row r="50" spans="1:25" x14ac:dyDescent="0.2">
      <c r="A50">
        <f t="shared" si="2"/>
        <v>1995</v>
      </c>
      <c r="B50" s="2">
        <f t="shared" si="3"/>
        <v>315530.31012374279</v>
      </c>
      <c r="C50" s="2">
        <f t="shared" si="4"/>
        <v>0</v>
      </c>
      <c r="D50" s="2"/>
      <c r="E50" s="2"/>
      <c r="F50" s="2">
        <f t="shared" si="5"/>
        <v>0</v>
      </c>
      <c r="G50" s="2"/>
      <c r="H50" s="2">
        <f t="shared" si="6"/>
        <v>0</v>
      </c>
      <c r="I50" s="2">
        <f t="shared" si="10"/>
        <v>315530.31012374279</v>
      </c>
      <c r="J50" s="2">
        <f t="shared" si="11"/>
        <v>85970.244555359561</v>
      </c>
      <c r="K50" s="6">
        <f t="shared" si="12"/>
        <v>0.37450000000000017</v>
      </c>
      <c r="L50" s="7">
        <f t="shared" si="13"/>
        <v>1.3745000000000003</v>
      </c>
      <c r="O50">
        <f t="shared" si="14"/>
        <v>1995</v>
      </c>
      <c r="P50" s="6">
        <f t="shared" si="7"/>
        <v>1</v>
      </c>
      <c r="Q50" s="6">
        <f t="shared" si="7"/>
        <v>0</v>
      </c>
      <c r="R50" s="7"/>
      <c r="S50" s="7"/>
      <c r="T50" s="6">
        <f t="shared" si="8"/>
        <v>0</v>
      </c>
      <c r="U50" s="7"/>
      <c r="V50" s="6">
        <f t="shared" si="9"/>
        <v>0</v>
      </c>
      <c r="W50" s="6">
        <f t="shared" si="15"/>
        <v>1</v>
      </c>
      <c r="X50" s="7">
        <f t="shared" si="16"/>
        <v>1</v>
      </c>
      <c r="Y50" s="7">
        <f t="shared" si="17"/>
        <v>0</v>
      </c>
    </row>
    <row r="51" spans="1:25" x14ac:dyDescent="0.2">
      <c r="A51">
        <f t="shared" si="2"/>
        <v>1996</v>
      </c>
      <c r="B51" s="2">
        <f t="shared" si="3"/>
        <v>387723.64508005517</v>
      </c>
      <c r="C51" s="2">
        <f t="shared" si="4"/>
        <v>0</v>
      </c>
      <c r="D51" s="2"/>
      <c r="E51" s="2"/>
      <c r="F51" s="2">
        <f t="shared" si="5"/>
        <v>0</v>
      </c>
      <c r="G51" s="2"/>
      <c r="H51" s="2">
        <f t="shared" si="6"/>
        <v>0</v>
      </c>
      <c r="I51" s="2">
        <f t="shared" si="10"/>
        <v>387723.64508005517</v>
      </c>
      <c r="J51" s="2">
        <f t="shared" si="11"/>
        <v>72193.334956312377</v>
      </c>
      <c r="K51" s="6">
        <f t="shared" si="12"/>
        <v>0.22880000000000009</v>
      </c>
      <c r="L51" s="7">
        <f t="shared" si="13"/>
        <v>1.2288000000000001</v>
      </c>
      <c r="O51">
        <f t="shared" si="14"/>
        <v>1996</v>
      </c>
      <c r="P51" s="6">
        <f t="shared" si="7"/>
        <v>1</v>
      </c>
      <c r="Q51" s="6">
        <f t="shared" si="7"/>
        <v>0</v>
      </c>
      <c r="R51" s="7"/>
      <c r="S51" s="7"/>
      <c r="T51" s="6">
        <f t="shared" si="8"/>
        <v>0</v>
      </c>
      <c r="U51" s="6"/>
      <c r="V51" s="6">
        <f t="shared" si="9"/>
        <v>0</v>
      </c>
      <c r="W51" s="6">
        <f t="shared" si="15"/>
        <v>1</v>
      </c>
      <c r="X51" s="7">
        <f t="shared" si="16"/>
        <v>1</v>
      </c>
      <c r="Y51" s="7">
        <f t="shared" si="17"/>
        <v>0</v>
      </c>
    </row>
    <row r="52" spans="1:25" x14ac:dyDescent="0.2">
      <c r="A52">
        <f t="shared" si="2"/>
        <v>1997</v>
      </c>
      <c r="B52" s="2">
        <f t="shared" si="3"/>
        <v>516409.12288212549</v>
      </c>
      <c r="C52" s="2">
        <f t="shared" si="4"/>
        <v>0</v>
      </c>
      <c r="D52" s="2"/>
      <c r="E52" s="2"/>
      <c r="F52" s="2"/>
      <c r="G52" s="2">
        <f>F51*(1+(G13/100))</f>
        <v>0</v>
      </c>
      <c r="H52" s="2">
        <f t="shared" si="6"/>
        <v>0</v>
      </c>
      <c r="I52" s="2">
        <f t="shared" ref="I52:I69" si="18">SUM(B52:H52)</f>
        <v>516409.12288212549</v>
      </c>
      <c r="J52" s="2">
        <f t="shared" si="11"/>
        <v>128685.47780207032</v>
      </c>
      <c r="K52" s="6">
        <f t="shared" si="12"/>
        <v>0.33190000000000003</v>
      </c>
      <c r="L52" s="7">
        <f t="shared" si="13"/>
        <v>1.3319000000000001</v>
      </c>
      <c r="O52">
        <f t="shared" si="14"/>
        <v>1997</v>
      </c>
      <c r="P52" s="6">
        <f t="shared" si="7"/>
        <v>1</v>
      </c>
      <c r="Q52" s="6">
        <f t="shared" si="7"/>
        <v>0</v>
      </c>
      <c r="R52" s="7"/>
      <c r="S52" s="7"/>
      <c r="T52" s="6"/>
      <c r="U52" s="6">
        <f t="shared" si="7"/>
        <v>0</v>
      </c>
      <c r="V52" s="6">
        <f t="shared" si="9"/>
        <v>0</v>
      </c>
      <c r="W52" s="6">
        <f t="shared" si="15"/>
        <v>1</v>
      </c>
      <c r="X52" s="7">
        <f t="shared" si="16"/>
        <v>1</v>
      </c>
      <c r="Y52" s="7">
        <f t="shared" si="17"/>
        <v>0</v>
      </c>
    </row>
    <row r="53" spans="1:25" x14ac:dyDescent="0.2">
      <c r="A53">
        <f t="shared" si="2"/>
        <v>1998</v>
      </c>
      <c r="B53" s="2">
        <f t="shared" si="3"/>
        <v>664411.97750014265</v>
      </c>
      <c r="C53" s="2">
        <f t="shared" si="4"/>
        <v>0</v>
      </c>
      <c r="D53" s="2"/>
      <c r="E53" s="2"/>
      <c r="F53" s="2"/>
      <c r="G53" s="2">
        <f t="shared" ref="G53:G73" si="19">G52*(1+(G14/100))</f>
        <v>0</v>
      </c>
      <c r="H53" s="2">
        <f t="shared" si="6"/>
        <v>0</v>
      </c>
      <c r="I53" s="2">
        <f t="shared" si="18"/>
        <v>664411.97750014265</v>
      </c>
      <c r="J53" s="2">
        <f t="shared" si="11"/>
        <v>148002.85461801715</v>
      </c>
      <c r="K53" s="6">
        <f t="shared" si="12"/>
        <v>0.28659999999999997</v>
      </c>
      <c r="L53" s="7">
        <f t="shared" si="13"/>
        <v>1.2866</v>
      </c>
      <c r="O53">
        <f t="shared" si="14"/>
        <v>1998</v>
      </c>
      <c r="P53" s="6">
        <f t="shared" si="7"/>
        <v>1</v>
      </c>
      <c r="Q53" s="6">
        <f t="shared" si="7"/>
        <v>0</v>
      </c>
      <c r="R53" s="7"/>
      <c r="S53" s="7"/>
      <c r="T53" s="7"/>
      <c r="U53" s="6">
        <f t="shared" si="7"/>
        <v>0</v>
      </c>
      <c r="V53" s="6">
        <f t="shared" si="9"/>
        <v>0</v>
      </c>
      <c r="W53" s="6">
        <f t="shared" si="15"/>
        <v>1</v>
      </c>
      <c r="X53" s="7">
        <f t="shared" si="16"/>
        <v>1</v>
      </c>
      <c r="Y53" s="7">
        <f t="shared" si="17"/>
        <v>0</v>
      </c>
    </row>
    <row r="54" spans="1:25" x14ac:dyDescent="0.2">
      <c r="A54">
        <f t="shared" si="2"/>
        <v>1999</v>
      </c>
      <c r="B54" s="2">
        <f t="shared" ref="B54:B73" si="20">B53*(1+(B15/100))</f>
        <v>804403.58115942276</v>
      </c>
      <c r="C54" s="2"/>
      <c r="D54" s="2">
        <f>($C53*0.67)*(1+(D15/100))</f>
        <v>0</v>
      </c>
      <c r="E54" s="2">
        <f>($C53*0.33)*(1+(E15/100))</f>
        <v>0</v>
      </c>
      <c r="F54" s="2"/>
      <c r="G54" s="2">
        <f t="shared" si="19"/>
        <v>0</v>
      </c>
      <c r="H54" s="2">
        <f t="shared" si="6"/>
        <v>0</v>
      </c>
      <c r="I54" s="2">
        <f t="shared" si="18"/>
        <v>804403.58115942276</v>
      </c>
      <c r="J54" s="2">
        <f t="shared" si="11"/>
        <v>139991.60365928011</v>
      </c>
      <c r="K54" s="6">
        <f t="shared" si="12"/>
        <v>0.21070000000000008</v>
      </c>
      <c r="L54" s="7">
        <f t="shared" si="13"/>
        <v>1.2107000000000001</v>
      </c>
      <c r="O54">
        <f t="shared" si="14"/>
        <v>1999</v>
      </c>
      <c r="P54" s="6">
        <f t="shared" si="7"/>
        <v>1</v>
      </c>
      <c r="Q54" s="7"/>
      <c r="R54" s="6">
        <f t="shared" si="7"/>
        <v>0</v>
      </c>
      <c r="S54" s="6">
        <f t="shared" si="7"/>
        <v>0</v>
      </c>
      <c r="T54" s="7"/>
      <c r="U54" s="6">
        <f t="shared" si="7"/>
        <v>0</v>
      </c>
      <c r="V54" s="6">
        <f t="shared" si="9"/>
        <v>0</v>
      </c>
      <c r="W54" s="6">
        <f t="shared" si="15"/>
        <v>1</v>
      </c>
      <c r="X54" s="7">
        <f t="shared" si="16"/>
        <v>1</v>
      </c>
      <c r="Y54" s="7">
        <f t="shared" si="17"/>
        <v>0</v>
      </c>
    </row>
    <row r="55" spans="1:25" x14ac:dyDescent="0.2">
      <c r="A55">
        <f t="shared" si="2"/>
        <v>2000</v>
      </c>
      <c r="B55" s="2">
        <f t="shared" si="20"/>
        <v>731524.61670637899</v>
      </c>
      <c r="C55" s="2"/>
      <c r="D55" s="2">
        <f t="shared" ref="D55:D73" si="21">D54*(1+(D16/100))</f>
        <v>0</v>
      </c>
      <c r="E55" s="2">
        <f t="shared" ref="E55:E73" si="22">E54*(1+(E16/100))</f>
        <v>0</v>
      </c>
      <c r="F55" s="2"/>
      <c r="G55" s="2">
        <f t="shared" si="19"/>
        <v>0</v>
      </c>
      <c r="H55" s="2">
        <f t="shared" si="6"/>
        <v>0</v>
      </c>
      <c r="I55" s="2">
        <f t="shared" si="18"/>
        <v>731524.61670637899</v>
      </c>
      <c r="J55" s="2">
        <f t="shared" si="11"/>
        <v>-72878.964453043765</v>
      </c>
      <c r="K55" s="6">
        <f t="shared" si="12"/>
        <v>-9.0600000000000083E-2</v>
      </c>
      <c r="L55" s="7">
        <f t="shared" si="13"/>
        <v>0.90939999999999988</v>
      </c>
      <c r="O55">
        <f t="shared" si="14"/>
        <v>2000</v>
      </c>
      <c r="P55" s="6">
        <f t="shared" si="7"/>
        <v>1</v>
      </c>
      <c r="Q55" s="7"/>
      <c r="R55" s="6">
        <f t="shared" si="7"/>
        <v>0</v>
      </c>
      <c r="S55" s="6">
        <f t="shared" si="7"/>
        <v>0</v>
      </c>
      <c r="T55" s="7"/>
      <c r="U55" s="6">
        <f t="shared" si="7"/>
        <v>0</v>
      </c>
      <c r="V55" s="6">
        <f t="shared" si="9"/>
        <v>0</v>
      </c>
      <c r="W55" s="6">
        <f t="shared" si="15"/>
        <v>1</v>
      </c>
      <c r="X55" s="7">
        <f t="shared" si="16"/>
        <v>1</v>
      </c>
      <c r="Y55" s="7">
        <f t="shared" si="17"/>
        <v>0</v>
      </c>
    </row>
    <row r="56" spans="1:25" x14ac:dyDescent="0.2">
      <c r="A56">
        <f t="shared" si="2"/>
        <v>2001</v>
      </c>
      <c r="B56" s="2">
        <f t="shared" si="20"/>
        <v>643595.35777827224</v>
      </c>
      <c r="C56" s="2"/>
      <c r="D56" s="2">
        <f t="shared" si="21"/>
        <v>0</v>
      </c>
      <c r="E56" s="2">
        <f t="shared" si="22"/>
        <v>0</v>
      </c>
      <c r="F56" s="2"/>
      <c r="G56" s="2">
        <f t="shared" si="19"/>
        <v>0</v>
      </c>
      <c r="H56" s="2">
        <f t="shared" si="6"/>
        <v>0</v>
      </c>
      <c r="I56" s="2">
        <f t="shared" si="18"/>
        <v>643595.35777827224</v>
      </c>
      <c r="J56" s="2">
        <f t="shared" si="11"/>
        <v>-87929.258928106748</v>
      </c>
      <c r="K56" s="6">
        <f t="shared" si="12"/>
        <v>-0.12019999999999999</v>
      </c>
      <c r="L56" s="7">
        <f t="shared" si="13"/>
        <v>0.87980000000000003</v>
      </c>
      <c r="O56">
        <f t="shared" si="14"/>
        <v>2001</v>
      </c>
      <c r="P56" s="6">
        <f t="shared" si="7"/>
        <v>1</v>
      </c>
      <c r="Q56" s="7"/>
      <c r="R56" s="6">
        <f t="shared" si="7"/>
        <v>0</v>
      </c>
      <c r="S56" s="6">
        <f t="shared" si="7"/>
        <v>0</v>
      </c>
      <c r="T56" s="7"/>
      <c r="U56" s="6">
        <f t="shared" si="7"/>
        <v>0</v>
      </c>
      <c r="V56" s="6">
        <f t="shared" si="9"/>
        <v>0</v>
      </c>
      <c r="W56" s="6">
        <f t="shared" si="15"/>
        <v>1</v>
      </c>
      <c r="X56" s="7">
        <f t="shared" si="16"/>
        <v>1</v>
      </c>
      <c r="Y56" s="7">
        <f t="shared" si="17"/>
        <v>0</v>
      </c>
    </row>
    <row r="57" spans="1:25" x14ac:dyDescent="0.2">
      <c r="A57">
        <f t="shared" si="2"/>
        <v>2002</v>
      </c>
      <c r="B57" s="2">
        <f t="shared" si="20"/>
        <v>501038.9860303849</v>
      </c>
      <c r="C57" s="2"/>
      <c r="D57" s="2">
        <f t="shared" si="21"/>
        <v>0</v>
      </c>
      <c r="E57" s="2">
        <f t="shared" si="22"/>
        <v>0</v>
      </c>
      <c r="F57" s="2"/>
      <c r="G57" s="2">
        <f t="shared" si="19"/>
        <v>0</v>
      </c>
      <c r="H57" s="2">
        <f t="shared" si="6"/>
        <v>0</v>
      </c>
      <c r="I57" s="2">
        <f t="shared" si="18"/>
        <v>501038.9860303849</v>
      </c>
      <c r="J57" s="2">
        <f t="shared" si="11"/>
        <v>-142556.37174788734</v>
      </c>
      <c r="K57" s="6">
        <f t="shared" si="12"/>
        <v>-0.22150000000000006</v>
      </c>
      <c r="L57" s="7">
        <f t="shared" si="13"/>
        <v>0.77849999999999997</v>
      </c>
      <c r="O57">
        <f t="shared" si="14"/>
        <v>2002</v>
      </c>
      <c r="P57" s="6">
        <f t="shared" si="7"/>
        <v>1</v>
      </c>
      <c r="Q57" s="7"/>
      <c r="R57" s="6">
        <f t="shared" si="7"/>
        <v>0</v>
      </c>
      <c r="S57" s="6">
        <f t="shared" si="7"/>
        <v>0</v>
      </c>
      <c r="T57" s="7"/>
      <c r="U57" s="6">
        <f t="shared" si="7"/>
        <v>0</v>
      </c>
      <c r="V57" s="6">
        <f t="shared" si="9"/>
        <v>0</v>
      </c>
      <c r="W57" s="6">
        <f t="shared" si="15"/>
        <v>1</v>
      </c>
      <c r="X57" s="7">
        <f t="shared" si="16"/>
        <v>1</v>
      </c>
      <c r="Y57" s="7">
        <f t="shared" si="17"/>
        <v>0</v>
      </c>
    </row>
    <row r="58" spans="1:25" x14ac:dyDescent="0.2">
      <c r="A58">
        <f t="shared" si="2"/>
        <v>2003</v>
      </c>
      <c r="B58" s="2">
        <f t="shared" si="20"/>
        <v>643835.09704904456</v>
      </c>
      <c r="C58" s="2"/>
      <c r="D58" s="2">
        <f t="shared" si="21"/>
        <v>0</v>
      </c>
      <c r="E58" s="2">
        <f t="shared" si="22"/>
        <v>0</v>
      </c>
      <c r="F58" s="2"/>
      <c r="G58" s="2">
        <f t="shared" si="19"/>
        <v>0</v>
      </c>
      <c r="H58" s="2">
        <f t="shared" si="6"/>
        <v>0</v>
      </c>
      <c r="I58" s="2">
        <f t="shared" si="18"/>
        <v>643835.09704904456</v>
      </c>
      <c r="J58" s="2">
        <f t="shared" si="11"/>
        <v>142796.11101865966</v>
      </c>
      <c r="K58" s="6">
        <f t="shared" si="12"/>
        <v>0.28499999999999992</v>
      </c>
      <c r="L58" s="7">
        <f t="shared" si="13"/>
        <v>1.2849999999999999</v>
      </c>
      <c r="O58">
        <f t="shared" si="14"/>
        <v>2003</v>
      </c>
      <c r="P58" s="6">
        <f t="shared" si="7"/>
        <v>1</v>
      </c>
      <c r="Q58" s="7"/>
      <c r="R58" s="6">
        <f t="shared" si="7"/>
        <v>0</v>
      </c>
      <c r="S58" s="6">
        <f t="shared" si="7"/>
        <v>0</v>
      </c>
      <c r="T58" s="7"/>
      <c r="U58" s="6">
        <f t="shared" si="7"/>
        <v>0</v>
      </c>
      <c r="V58" s="6">
        <f t="shared" si="9"/>
        <v>0</v>
      </c>
      <c r="W58" s="6">
        <f t="shared" si="15"/>
        <v>1</v>
      </c>
      <c r="X58" s="7">
        <f t="shared" si="16"/>
        <v>1</v>
      </c>
      <c r="Y58" s="7">
        <f t="shared" si="17"/>
        <v>0</v>
      </c>
    </row>
    <row r="59" spans="1:25" x14ac:dyDescent="0.2">
      <c r="A59">
        <f t="shared" si="2"/>
        <v>2004</v>
      </c>
      <c r="B59" s="2">
        <f t="shared" si="20"/>
        <v>712982.98647211189</v>
      </c>
      <c r="C59" s="2"/>
      <c r="D59" s="2">
        <f t="shared" si="21"/>
        <v>0</v>
      </c>
      <c r="E59" s="2">
        <f t="shared" si="22"/>
        <v>0</v>
      </c>
      <c r="F59" s="2"/>
      <c r="G59" s="2">
        <f t="shared" si="19"/>
        <v>0</v>
      </c>
      <c r="H59" s="2">
        <f t="shared" si="6"/>
        <v>0</v>
      </c>
      <c r="I59" s="2">
        <f t="shared" si="18"/>
        <v>712982.98647211189</v>
      </c>
      <c r="J59" s="2">
        <f>I59-I58</f>
        <v>69147.889423067332</v>
      </c>
      <c r="K59" s="6">
        <f>(J59/I58)</f>
        <v>0.10739999999999991</v>
      </c>
      <c r="L59" s="7">
        <f t="shared" si="13"/>
        <v>1.1073999999999999</v>
      </c>
      <c r="O59">
        <f t="shared" si="14"/>
        <v>2004</v>
      </c>
      <c r="P59" s="6">
        <f t="shared" si="7"/>
        <v>1</v>
      </c>
      <c r="Q59" s="7"/>
      <c r="R59" s="6">
        <f t="shared" si="7"/>
        <v>0</v>
      </c>
      <c r="S59" s="6">
        <f t="shared" si="7"/>
        <v>0</v>
      </c>
      <c r="T59" s="7"/>
      <c r="U59" s="6">
        <f t="shared" si="7"/>
        <v>0</v>
      </c>
      <c r="V59" s="6">
        <f t="shared" si="9"/>
        <v>0</v>
      </c>
      <c r="W59" s="6">
        <f t="shared" si="15"/>
        <v>1</v>
      </c>
      <c r="X59" s="7">
        <f t="shared" si="16"/>
        <v>1</v>
      </c>
      <c r="Y59" s="7">
        <f t="shared" si="17"/>
        <v>0</v>
      </c>
    </row>
    <row r="60" spans="1:25" x14ac:dyDescent="0.2">
      <c r="A60">
        <f t="shared" si="2"/>
        <v>2005</v>
      </c>
      <c r="B60" s="2">
        <f t="shared" si="20"/>
        <v>746992.27492683171</v>
      </c>
      <c r="C60" s="2"/>
      <c r="D60" s="2">
        <f t="shared" si="21"/>
        <v>0</v>
      </c>
      <c r="E60" s="2">
        <f t="shared" si="22"/>
        <v>0</v>
      </c>
      <c r="F60" s="2"/>
      <c r="G60" s="2">
        <f t="shared" si="19"/>
        <v>0</v>
      </c>
      <c r="H60" s="2">
        <f t="shared" si="6"/>
        <v>0</v>
      </c>
      <c r="I60" s="2">
        <f t="shared" si="18"/>
        <v>746992.27492683171</v>
      </c>
      <c r="J60" s="2">
        <f t="shared" si="11"/>
        <v>34009.288454719819</v>
      </c>
      <c r="K60" s="6">
        <f t="shared" si="12"/>
        <v>4.7700000000000117E-2</v>
      </c>
      <c r="L60" s="7">
        <f t="shared" si="13"/>
        <v>1.0477000000000001</v>
      </c>
      <c r="O60">
        <f t="shared" si="14"/>
        <v>2005</v>
      </c>
      <c r="P60" s="6">
        <f t="shared" si="7"/>
        <v>1</v>
      </c>
      <c r="Q60" s="7"/>
      <c r="R60" s="6">
        <f t="shared" si="7"/>
        <v>0</v>
      </c>
      <c r="S60" s="6">
        <f t="shared" si="7"/>
        <v>0</v>
      </c>
      <c r="T60" s="7"/>
      <c r="U60" s="6">
        <f t="shared" si="7"/>
        <v>0</v>
      </c>
      <c r="V60" s="6">
        <f t="shared" si="9"/>
        <v>0</v>
      </c>
      <c r="W60" s="6">
        <f t="shared" si="15"/>
        <v>1</v>
      </c>
      <c r="X60" s="7">
        <f t="shared" si="16"/>
        <v>1</v>
      </c>
      <c r="Y60" s="7">
        <f t="shared" si="17"/>
        <v>0</v>
      </c>
    </row>
    <row r="61" spans="1:25" x14ac:dyDescent="0.2">
      <c r="A61">
        <f t="shared" si="2"/>
        <v>2006</v>
      </c>
      <c r="B61" s="2">
        <f t="shared" si="20"/>
        <v>863821.86672538822</v>
      </c>
      <c r="C61" s="2"/>
      <c r="D61" s="2">
        <f t="shared" si="21"/>
        <v>0</v>
      </c>
      <c r="E61" s="2">
        <f t="shared" si="22"/>
        <v>0</v>
      </c>
      <c r="F61" s="2"/>
      <c r="G61" s="2">
        <f t="shared" si="19"/>
        <v>0</v>
      </c>
      <c r="H61" s="2">
        <f t="shared" si="6"/>
        <v>0</v>
      </c>
      <c r="I61" s="2">
        <f t="shared" si="18"/>
        <v>863821.86672538822</v>
      </c>
      <c r="J61" s="2">
        <f t="shared" si="11"/>
        <v>116829.5917985565</v>
      </c>
      <c r="K61" s="6">
        <f t="shared" si="12"/>
        <v>0.15640000000000004</v>
      </c>
      <c r="L61" s="7">
        <f t="shared" si="13"/>
        <v>1.1564000000000001</v>
      </c>
      <c r="O61">
        <f t="shared" si="14"/>
        <v>2006</v>
      </c>
      <c r="P61" s="6">
        <f t="shared" si="7"/>
        <v>1</v>
      </c>
      <c r="Q61" s="7"/>
      <c r="R61" s="6">
        <f t="shared" si="7"/>
        <v>0</v>
      </c>
      <c r="S61" s="6">
        <f t="shared" si="7"/>
        <v>0</v>
      </c>
      <c r="T61" s="7"/>
      <c r="U61" s="6">
        <f t="shared" si="7"/>
        <v>0</v>
      </c>
      <c r="V61" s="6">
        <f t="shared" si="9"/>
        <v>0</v>
      </c>
      <c r="W61" s="6">
        <f t="shared" si="15"/>
        <v>1</v>
      </c>
      <c r="X61" s="7">
        <f t="shared" si="16"/>
        <v>1</v>
      </c>
      <c r="Y61" s="7">
        <f t="shared" si="17"/>
        <v>0</v>
      </c>
    </row>
    <row r="62" spans="1:25" x14ac:dyDescent="0.2">
      <c r="A62">
        <f t="shared" si="2"/>
        <v>2007</v>
      </c>
      <c r="B62" s="2">
        <f t="shared" si="20"/>
        <v>910381.86534188665</v>
      </c>
      <c r="C62" s="2"/>
      <c r="D62" s="2">
        <f t="shared" si="21"/>
        <v>0</v>
      </c>
      <c r="E62" s="2">
        <f t="shared" si="22"/>
        <v>0</v>
      </c>
      <c r="F62" s="2"/>
      <c r="G62" s="2">
        <f t="shared" si="19"/>
        <v>0</v>
      </c>
      <c r="H62" s="2">
        <f t="shared" si="6"/>
        <v>0</v>
      </c>
      <c r="I62" s="2">
        <f t="shared" si="18"/>
        <v>910381.86534188665</v>
      </c>
      <c r="J62" s="2">
        <f t="shared" si="11"/>
        <v>46559.998616498429</v>
      </c>
      <c r="K62" s="6">
        <f t="shared" si="12"/>
        <v>5.3900000000000003E-2</v>
      </c>
      <c r="L62" s="7">
        <f t="shared" si="13"/>
        <v>1.0539000000000001</v>
      </c>
      <c r="O62">
        <f t="shared" si="14"/>
        <v>2007</v>
      </c>
      <c r="P62" s="6">
        <f t="shared" si="7"/>
        <v>1</v>
      </c>
      <c r="Q62" s="7"/>
      <c r="R62" s="6">
        <f t="shared" si="7"/>
        <v>0</v>
      </c>
      <c r="S62" s="6">
        <f t="shared" si="7"/>
        <v>0</v>
      </c>
      <c r="T62" s="7"/>
      <c r="U62" s="6">
        <f t="shared" si="7"/>
        <v>0</v>
      </c>
      <c r="V62" s="6">
        <f t="shared" si="9"/>
        <v>0</v>
      </c>
      <c r="W62" s="6">
        <f t="shared" si="15"/>
        <v>1</v>
      </c>
      <c r="X62" s="7">
        <f t="shared" si="16"/>
        <v>1</v>
      </c>
      <c r="Y62" s="7">
        <f t="shared" si="17"/>
        <v>0</v>
      </c>
    </row>
    <row r="63" spans="1:25" x14ac:dyDescent="0.2">
      <c r="A63">
        <f t="shared" si="2"/>
        <v>2008</v>
      </c>
      <c r="B63" s="2">
        <f t="shared" si="20"/>
        <v>573358.49879232014</v>
      </c>
      <c r="C63" s="2"/>
      <c r="D63" s="2">
        <f t="shared" si="21"/>
        <v>0</v>
      </c>
      <c r="E63" s="2">
        <f t="shared" si="22"/>
        <v>0</v>
      </c>
      <c r="F63" s="2"/>
      <c r="G63" s="2">
        <f t="shared" si="19"/>
        <v>0</v>
      </c>
      <c r="H63" s="2">
        <f t="shared" si="6"/>
        <v>0</v>
      </c>
      <c r="I63" s="2">
        <f t="shared" si="18"/>
        <v>573358.49879232014</v>
      </c>
      <c r="J63" s="2">
        <f t="shared" si="11"/>
        <v>-337023.3665495665</v>
      </c>
      <c r="K63" s="6">
        <f t="shared" si="12"/>
        <v>-0.37020000000000008</v>
      </c>
      <c r="L63" s="7">
        <f t="shared" si="13"/>
        <v>0.62979999999999992</v>
      </c>
      <c r="O63">
        <f t="shared" si="14"/>
        <v>2008</v>
      </c>
      <c r="P63" s="6">
        <f t="shared" si="7"/>
        <v>1</v>
      </c>
      <c r="Q63" s="7"/>
      <c r="R63" s="6">
        <f t="shared" si="7"/>
        <v>0</v>
      </c>
      <c r="S63" s="6">
        <f t="shared" si="7"/>
        <v>0</v>
      </c>
      <c r="T63" s="7"/>
      <c r="U63" s="6">
        <f t="shared" si="7"/>
        <v>0</v>
      </c>
      <c r="V63" s="6">
        <f t="shared" si="9"/>
        <v>0</v>
      </c>
      <c r="W63" s="6">
        <f t="shared" si="15"/>
        <v>1</v>
      </c>
      <c r="X63" s="7">
        <f t="shared" si="16"/>
        <v>1</v>
      </c>
      <c r="Y63" s="7">
        <f t="shared" si="17"/>
        <v>0</v>
      </c>
    </row>
    <row r="64" spans="1:25" x14ac:dyDescent="0.2">
      <c r="A64">
        <f t="shared" si="2"/>
        <v>2009</v>
      </c>
      <c r="B64" s="2">
        <f t="shared" si="20"/>
        <v>725241.16512240574</v>
      </c>
      <c r="C64" s="2"/>
      <c r="D64" s="2">
        <f t="shared" si="21"/>
        <v>0</v>
      </c>
      <c r="E64" s="2">
        <f t="shared" si="22"/>
        <v>0</v>
      </c>
      <c r="F64" s="2"/>
      <c r="G64" s="2">
        <f t="shared" si="19"/>
        <v>0</v>
      </c>
      <c r="H64" s="2">
        <f t="shared" si="6"/>
        <v>0</v>
      </c>
      <c r="I64" s="2">
        <f t="shared" si="18"/>
        <v>725241.16512240574</v>
      </c>
      <c r="J64" s="2">
        <f t="shared" si="11"/>
        <v>151882.6663300856</v>
      </c>
      <c r="K64" s="6">
        <f t="shared" si="12"/>
        <v>0.26489999999999997</v>
      </c>
      <c r="L64" s="7">
        <f t="shared" si="13"/>
        <v>1.2648999999999999</v>
      </c>
      <c r="O64">
        <f t="shared" si="14"/>
        <v>2009</v>
      </c>
      <c r="P64" s="6">
        <f t="shared" si="7"/>
        <v>1</v>
      </c>
      <c r="Q64" s="7"/>
      <c r="R64" s="6">
        <f t="shared" si="7"/>
        <v>0</v>
      </c>
      <c r="S64" s="6">
        <f t="shared" si="7"/>
        <v>0</v>
      </c>
      <c r="T64" s="7"/>
      <c r="U64" s="6">
        <f t="shared" si="7"/>
        <v>0</v>
      </c>
      <c r="V64" s="6">
        <f t="shared" si="9"/>
        <v>0</v>
      </c>
      <c r="W64" s="6">
        <f t="shared" si="15"/>
        <v>1</v>
      </c>
      <c r="X64" s="7">
        <f t="shared" si="16"/>
        <v>1</v>
      </c>
      <c r="Y64" s="7">
        <f t="shared" si="17"/>
        <v>0</v>
      </c>
    </row>
    <row r="65" spans="1:25" x14ac:dyDescent="0.2">
      <c r="A65">
        <f t="shared" si="2"/>
        <v>2010</v>
      </c>
      <c r="B65" s="2">
        <f t="shared" si="20"/>
        <v>833374.62284215644</v>
      </c>
      <c r="C65" s="2"/>
      <c r="D65" s="2">
        <f t="shared" si="21"/>
        <v>0</v>
      </c>
      <c r="E65" s="2">
        <f t="shared" si="22"/>
        <v>0</v>
      </c>
      <c r="F65" s="2"/>
      <c r="G65" s="2">
        <f t="shared" si="19"/>
        <v>0</v>
      </c>
      <c r="H65" s="2">
        <f t="shared" si="6"/>
        <v>0</v>
      </c>
      <c r="I65" s="2">
        <f t="shared" si="18"/>
        <v>833374.62284215644</v>
      </c>
      <c r="J65" s="2">
        <f t="shared" si="11"/>
        <v>108133.4577197507</v>
      </c>
      <c r="K65" s="6">
        <f t="shared" si="12"/>
        <v>0.14910000000000001</v>
      </c>
      <c r="L65" s="7">
        <f t="shared" si="13"/>
        <v>1.1491</v>
      </c>
      <c r="O65">
        <f t="shared" si="14"/>
        <v>2010</v>
      </c>
      <c r="P65" s="6">
        <f t="shared" si="7"/>
        <v>1</v>
      </c>
      <c r="Q65" s="7"/>
      <c r="R65" s="6">
        <f t="shared" si="7"/>
        <v>0</v>
      </c>
      <c r="S65" s="6">
        <f t="shared" si="7"/>
        <v>0</v>
      </c>
      <c r="T65" s="7"/>
      <c r="U65" s="6">
        <f t="shared" si="7"/>
        <v>0</v>
      </c>
      <c r="V65" s="6">
        <f t="shared" si="9"/>
        <v>0</v>
      </c>
      <c r="W65" s="6">
        <f t="shared" si="15"/>
        <v>1</v>
      </c>
      <c r="X65" s="7">
        <f t="shared" si="16"/>
        <v>1</v>
      </c>
      <c r="Y65" s="7">
        <f t="shared" si="17"/>
        <v>0</v>
      </c>
    </row>
    <row r="66" spans="1:25" x14ac:dyDescent="0.2">
      <c r="A66">
        <f t="shared" si="2"/>
        <v>2011</v>
      </c>
      <c r="B66" s="2">
        <f t="shared" si="20"/>
        <v>849792.10291214695</v>
      </c>
      <c r="C66" s="2"/>
      <c r="D66" s="2">
        <f t="shared" si="21"/>
        <v>0</v>
      </c>
      <c r="E66" s="2">
        <f t="shared" si="22"/>
        <v>0</v>
      </c>
      <c r="F66" s="2"/>
      <c r="G66" s="2">
        <f t="shared" si="19"/>
        <v>0</v>
      </c>
      <c r="H66" s="2">
        <f t="shared" si="6"/>
        <v>0</v>
      </c>
      <c r="I66" s="2">
        <f t="shared" si="18"/>
        <v>849792.10291214695</v>
      </c>
      <c r="J66" s="2">
        <f t="shared" si="11"/>
        <v>16417.480069990503</v>
      </c>
      <c r="K66" s="6">
        <f t="shared" si="12"/>
        <v>1.9700000000000027E-2</v>
      </c>
      <c r="L66" s="7">
        <f t="shared" si="13"/>
        <v>1.0197000000000001</v>
      </c>
      <c r="O66">
        <f t="shared" si="14"/>
        <v>2011</v>
      </c>
      <c r="P66" s="6">
        <f t="shared" si="7"/>
        <v>1</v>
      </c>
      <c r="Q66" s="7"/>
      <c r="R66" s="6">
        <f t="shared" si="7"/>
        <v>0</v>
      </c>
      <c r="S66" s="6">
        <f t="shared" si="7"/>
        <v>0</v>
      </c>
      <c r="T66" s="7"/>
      <c r="U66" s="6">
        <f t="shared" si="7"/>
        <v>0</v>
      </c>
      <c r="V66" s="6">
        <f t="shared" si="9"/>
        <v>0</v>
      </c>
      <c r="W66" s="6">
        <f t="shared" si="15"/>
        <v>1</v>
      </c>
      <c r="X66" s="7">
        <f t="shared" si="16"/>
        <v>1</v>
      </c>
      <c r="Y66" s="7">
        <f t="shared" si="17"/>
        <v>0</v>
      </c>
    </row>
    <row r="67" spans="1:25" x14ac:dyDescent="0.2">
      <c r="A67">
        <f t="shared" si="2"/>
        <v>2012</v>
      </c>
      <c r="B67" s="2">
        <f t="shared" si="20"/>
        <v>984229.21359284851</v>
      </c>
      <c r="C67" s="2"/>
      <c r="D67" s="2">
        <f t="shared" si="21"/>
        <v>0</v>
      </c>
      <c r="E67" s="2">
        <f t="shared" si="22"/>
        <v>0</v>
      </c>
      <c r="F67" s="2"/>
      <c r="G67" s="2">
        <f t="shared" si="19"/>
        <v>0</v>
      </c>
      <c r="H67" s="2">
        <f t="shared" si="6"/>
        <v>0</v>
      </c>
      <c r="I67" s="2">
        <f t="shared" si="18"/>
        <v>984229.21359284851</v>
      </c>
      <c r="J67" s="2">
        <f t="shared" si="11"/>
        <v>134437.11068070156</v>
      </c>
      <c r="K67" s="6">
        <f t="shared" si="12"/>
        <v>0.1581999999999999</v>
      </c>
      <c r="L67" s="7">
        <f t="shared" si="13"/>
        <v>1.1581999999999999</v>
      </c>
      <c r="O67">
        <f t="shared" si="14"/>
        <v>2012</v>
      </c>
      <c r="P67" s="6">
        <f t="shared" si="7"/>
        <v>1</v>
      </c>
      <c r="Q67" s="7"/>
      <c r="R67" s="6">
        <f t="shared" si="7"/>
        <v>0</v>
      </c>
      <c r="S67" s="6">
        <f t="shared" si="7"/>
        <v>0</v>
      </c>
      <c r="T67" s="7"/>
      <c r="U67" s="6">
        <f t="shared" si="7"/>
        <v>0</v>
      </c>
      <c r="V67" s="6">
        <f t="shared" si="9"/>
        <v>0</v>
      </c>
      <c r="W67" s="6">
        <f t="shared" si="15"/>
        <v>1</v>
      </c>
      <c r="X67" s="7">
        <f t="shared" si="16"/>
        <v>1</v>
      </c>
      <c r="Y67" s="7">
        <f t="shared" si="17"/>
        <v>0</v>
      </c>
    </row>
    <row r="68" spans="1:25" x14ac:dyDescent="0.2">
      <c r="A68">
        <f t="shared" si="2"/>
        <v>2013</v>
      </c>
      <c r="B68" s="2">
        <f t="shared" si="20"/>
        <v>1300954.1745270272</v>
      </c>
      <c r="C68" s="2"/>
      <c r="D68" s="2">
        <f t="shared" si="21"/>
        <v>0</v>
      </c>
      <c r="E68" s="2">
        <f t="shared" si="22"/>
        <v>0</v>
      </c>
      <c r="F68" s="2"/>
      <c r="G68" s="2">
        <f t="shared" si="19"/>
        <v>0</v>
      </c>
      <c r="H68" s="2">
        <f t="shared" si="6"/>
        <v>0</v>
      </c>
      <c r="I68" s="2">
        <f t="shared" si="18"/>
        <v>1300954.1745270272</v>
      </c>
      <c r="J68" s="2">
        <f t="shared" si="11"/>
        <v>316724.96093417867</v>
      </c>
      <c r="K68" s="6">
        <f>(J68/I66)</f>
        <v>0.37270875999999997</v>
      </c>
      <c r="L68" s="7">
        <f t="shared" si="13"/>
        <v>1.3727087600000001</v>
      </c>
      <c r="O68">
        <f t="shared" si="14"/>
        <v>2013</v>
      </c>
      <c r="P68" s="6">
        <f t="shared" si="7"/>
        <v>1</v>
      </c>
      <c r="Q68" s="7"/>
      <c r="R68" s="6">
        <f t="shared" si="7"/>
        <v>0</v>
      </c>
      <c r="S68" s="6">
        <f t="shared" si="7"/>
        <v>0</v>
      </c>
      <c r="T68" s="7"/>
      <c r="U68" s="6">
        <f t="shared" si="7"/>
        <v>0</v>
      </c>
      <c r="V68" s="6">
        <f t="shared" si="9"/>
        <v>0</v>
      </c>
      <c r="W68" s="6">
        <f t="shared" ref="W68" si="23">SUM(P68:V68)</f>
        <v>1</v>
      </c>
      <c r="X68" s="7">
        <f t="shared" ref="X68" si="24">SUM(P68:U68)</f>
        <v>1</v>
      </c>
      <c r="Y68" s="7">
        <f t="shared" si="17"/>
        <v>0</v>
      </c>
    </row>
    <row r="69" spans="1:25" x14ac:dyDescent="0.2">
      <c r="A69">
        <f t="shared" si="2"/>
        <v>2014</v>
      </c>
      <c r="B69" s="2">
        <f t="shared" si="20"/>
        <v>1476713.0835056286</v>
      </c>
      <c r="C69" s="2"/>
      <c r="D69" s="2">
        <f t="shared" si="21"/>
        <v>0</v>
      </c>
      <c r="E69" s="2">
        <f t="shared" si="22"/>
        <v>0</v>
      </c>
      <c r="F69" s="2"/>
      <c r="G69" s="2">
        <f t="shared" si="19"/>
        <v>0</v>
      </c>
      <c r="H69" s="2">
        <f t="shared" si="6"/>
        <v>0</v>
      </c>
      <c r="I69" s="2">
        <f t="shared" si="18"/>
        <v>1476713.0835056286</v>
      </c>
      <c r="J69" s="2">
        <f t="shared" si="11"/>
        <v>175758.90897860145</v>
      </c>
      <c r="K69" s="6">
        <f>(J69/I67)</f>
        <v>0.17857518000000008</v>
      </c>
      <c r="L69" s="7">
        <f t="shared" si="13"/>
        <v>1.1785751800000002</v>
      </c>
      <c r="O69">
        <f t="shared" si="14"/>
        <v>2014</v>
      </c>
      <c r="P69" s="6">
        <f t="shared" si="7"/>
        <v>1</v>
      </c>
      <c r="Q69" s="7"/>
      <c r="R69" s="6">
        <f t="shared" si="7"/>
        <v>0</v>
      </c>
      <c r="S69" s="6">
        <f t="shared" si="7"/>
        <v>0</v>
      </c>
      <c r="T69" s="7"/>
      <c r="U69" s="6">
        <f t="shared" si="7"/>
        <v>0</v>
      </c>
      <c r="V69" s="6">
        <f t="shared" si="9"/>
        <v>0</v>
      </c>
      <c r="W69" s="6">
        <f t="shared" si="15"/>
        <v>1</v>
      </c>
      <c r="X69" s="7">
        <f t="shared" si="16"/>
        <v>1</v>
      </c>
      <c r="Y69" s="7">
        <f t="shared" si="17"/>
        <v>0</v>
      </c>
    </row>
    <row r="70" spans="1:25" x14ac:dyDescent="0.2">
      <c r="A70">
        <f t="shared" si="2"/>
        <v>2015</v>
      </c>
      <c r="B70" s="2">
        <f t="shared" si="20"/>
        <v>1495171.997049449</v>
      </c>
      <c r="C70" s="2"/>
      <c r="D70" s="2">
        <f t="shared" si="21"/>
        <v>0</v>
      </c>
      <c r="E70" s="2">
        <f t="shared" si="22"/>
        <v>0</v>
      </c>
      <c r="F70" s="2"/>
      <c r="G70" s="2">
        <f t="shared" si="19"/>
        <v>0</v>
      </c>
      <c r="H70" s="2">
        <f t="shared" si="6"/>
        <v>0</v>
      </c>
      <c r="I70" s="2">
        <f t="shared" ref="I70" si="25">SUM(B70:H70)</f>
        <v>1495171.997049449</v>
      </c>
      <c r="J70" s="2">
        <f t="shared" si="11"/>
        <v>18458.913543820381</v>
      </c>
      <c r="K70" s="6">
        <f t="shared" ref="K70:K72" si="26">(J70/I68)</f>
        <v>1.4188750000000019E-2</v>
      </c>
      <c r="L70" s="7">
        <f t="shared" si="13"/>
        <v>1.01418875</v>
      </c>
      <c r="O70">
        <f t="shared" si="14"/>
        <v>2015</v>
      </c>
      <c r="P70" s="6">
        <f t="shared" ref="P70:P72" si="27">B70/$I70</f>
        <v>1</v>
      </c>
      <c r="Q70" s="7"/>
      <c r="R70" s="6">
        <f t="shared" ref="R70:S72" si="28">D70/$I70</f>
        <v>0</v>
      </c>
      <c r="S70" s="6">
        <f t="shared" si="28"/>
        <v>0</v>
      </c>
      <c r="T70" s="7"/>
      <c r="U70" s="6">
        <f t="shared" ref="U70:U72" si="29">G70/$I70</f>
        <v>0</v>
      </c>
      <c r="V70" s="6">
        <f t="shared" si="9"/>
        <v>0</v>
      </c>
      <c r="W70" s="6">
        <f t="shared" si="15"/>
        <v>1</v>
      </c>
      <c r="X70" s="7">
        <f t="shared" si="16"/>
        <v>1</v>
      </c>
      <c r="Y70" s="7">
        <f t="shared" si="17"/>
        <v>0</v>
      </c>
    </row>
    <row r="71" spans="1:25" x14ac:dyDescent="0.2">
      <c r="A71">
        <f t="shared" si="2"/>
        <v>2016</v>
      </c>
      <c r="B71" s="2">
        <f t="shared" si="20"/>
        <v>1671901.3271006939</v>
      </c>
      <c r="C71" s="2"/>
      <c r="D71" s="2">
        <f t="shared" si="21"/>
        <v>0</v>
      </c>
      <c r="E71" s="2">
        <f t="shared" si="22"/>
        <v>0</v>
      </c>
      <c r="F71" s="2"/>
      <c r="G71" s="2">
        <f t="shared" si="19"/>
        <v>0</v>
      </c>
      <c r="H71" s="2">
        <f t="shared" si="6"/>
        <v>0</v>
      </c>
      <c r="I71" s="2">
        <f t="shared" ref="I71:I72" si="30">SUM(B71:H71)</f>
        <v>1671901.3271006939</v>
      </c>
      <c r="J71" s="2">
        <f t="shared" si="11"/>
        <v>176729.33005124494</v>
      </c>
      <c r="K71" s="6">
        <f t="shared" si="26"/>
        <v>0.11967750000000005</v>
      </c>
      <c r="L71" s="7">
        <f t="shared" si="13"/>
        <v>1.1196775000000001</v>
      </c>
      <c r="O71">
        <f t="shared" si="14"/>
        <v>2016</v>
      </c>
      <c r="P71" s="6">
        <f t="shared" si="27"/>
        <v>1</v>
      </c>
      <c r="Q71" s="7"/>
      <c r="R71" s="6">
        <f t="shared" si="28"/>
        <v>0</v>
      </c>
      <c r="S71" s="6">
        <f t="shared" si="28"/>
        <v>0</v>
      </c>
      <c r="T71" s="7"/>
      <c r="U71" s="6">
        <f t="shared" si="29"/>
        <v>0</v>
      </c>
      <c r="V71" s="6">
        <f t="shared" si="9"/>
        <v>0</v>
      </c>
      <c r="W71" s="6">
        <f t="shared" ref="W71:W72" si="31">SUM(P71:V71)</f>
        <v>1</v>
      </c>
      <c r="X71" s="7">
        <f t="shared" ref="X71:X72" si="32">SUM(P71:U71)</f>
        <v>1</v>
      </c>
      <c r="Y71" s="7">
        <f t="shared" si="17"/>
        <v>0</v>
      </c>
    </row>
    <row r="72" spans="1:25" x14ac:dyDescent="0.2">
      <c r="A72">
        <f t="shared" si="2"/>
        <v>2017</v>
      </c>
      <c r="B72" s="2">
        <f t="shared" si="20"/>
        <v>2034202.3446834141</v>
      </c>
      <c r="C72" s="2"/>
      <c r="D72" s="2">
        <f t="shared" si="21"/>
        <v>0</v>
      </c>
      <c r="E72" s="2">
        <f t="shared" si="22"/>
        <v>0</v>
      </c>
      <c r="F72" s="2"/>
      <c r="G72" s="2">
        <f t="shared" si="19"/>
        <v>0</v>
      </c>
      <c r="H72" s="2">
        <f t="shared" si="6"/>
        <v>0</v>
      </c>
      <c r="I72" s="2">
        <f t="shared" si="30"/>
        <v>2034202.3446834141</v>
      </c>
      <c r="J72" s="2">
        <f t="shared" si="11"/>
        <v>362301.01758272015</v>
      </c>
      <c r="K72" s="6">
        <f t="shared" si="26"/>
        <v>0.24231393999999987</v>
      </c>
      <c r="L72" s="7">
        <f t="shared" si="13"/>
        <v>1.2423139399999998</v>
      </c>
      <c r="O72">
        <f t="shared" si="14"/>
        <v>2017</v>
      </c>
      <c r="P72" s="6">
        <f t="shared" si="27"/>
        <v>1</v>
      </c>
      <c r="Q72" s="7"/>
      <c r="R72" s="6">
        <f t="shared" si="28"/>
        <v>0</v>
      </c>
      <c r="S72" s="6">
        <f t="shared" si="28"/>
        <v>0</v>
      </c>
      <c r="T72" s="7"/>
      <c r="U72" s="6">
        <f t="shared" si="29"/>
        <v>0</v>
      </c>
      <c r="V72" s="6">
        <f t="shared" si="9"/>
        <v>0</v>
      </c>
      <c r="W72" s="6">
        <f t="shared" si="31"/>
        <v>1</v>
      </c>
      <c r="X72" s="7">
        <f t="shared" si="32"/>
        <v>1</v>
      </c>
      <c r="Y72" s="7">
        <f t="shared" si="17"/>
        <v>0</v>
      </c>
    </row>
    <row r="73" spans="1:25" x14ac:dyDescent="0.2">
      <c r="A73">
        <f t="shared" si="2"/>
        <v>2018</v>
      </c>
      <c r="B73" s="2">
        <f t="shared" si="20"/>
        <v>1942663.2391726603</v>
      </c>
      <c r="C73" s="2"/>
      <c r="D73" s="2">
        <f t="shared" si="21"/>
        <v>0</v>
      </c>
      <c r="E73" s="2">
        <f t="shared" si="22"/>
        <v>0</v>
      </c>
      <c r="F73" s="2"/>
      <c r="G73" s="2">
        <f t="shared" si="19"/>
        <v>0</v>
      </c>
      <c r="H73" s="2">
        <f t="shared" si="6"/>
        <v>0</v>
      </c>
      <c r="I73" s="2">
        <f t="shared" ref="I73" si="33">SUM(B73:H73)</f>
        <v>1942663.2391726603</v>
      </c>
      <c r="J73" s="2">
        <f t="shared" ref="J73" si="34">I73-I72</f>
        <v>-91539.105510753812</v>
      </c>
      <c r="K73" s="6">
        <f t="shared" ref="K73" si="35">(J73/I71)</f>
        <v>-5.4751500000000099E-2</v>
      </c>
      <c r="L73" s="7">
        <f t="shared" ref="L73" si="36">K73+1</f>
        <v>0.94524849999999994</v>
      </c>
      <c r="O73">
        <f t="shared" ref="O73" si="37">A73</f>
        <v>2018</v>
      </c>
      <c r="P73" s="6">
        <f t="shared" ref="P73" si="38">B73/$I73</f>
        <v>1</v>
      </c>
      <c r="Q73" s="7"/>
      <c r="R73" s="6">
        <f t="shared" ref="R73" si="39">D73/$I73</f>
        <v>0</v>
      </c>
      <c r="S73" s="6">
        <f t="shared" ref="S73" si="40">E73/$I73</f>
        <v>0</v>
      </c>
      <c r="T73" s="7"/>
      <c r="U73" s="6">
        <f t="shared" ref="U73" si="41">G73/$I73</f>
        <v>0</v>
      </c>
      <c r="V73" s="6">
        <f t="shared" ref="V73" si="42">H73/$I73</f>
        <v>0</v>
      </c>
      <c r="W73" s="6">
        <f t="shared" ref="W73" si="43">SUM(P73:V73)</f>
        <v>1</v>
      </c>
      <c r="X73" s="7">
        <f t="shared" ref="X73" si="44">SUM(P73:U73)</f>
        <v>1</v>
      </c>
      <c r="Y73" s="7">
        <f t="shared" ref="Y73" si="45">W73-(X73+V73)</f>
        <v>0</v>
      </c>
    </row>
    <row r="74" spans="1:25" x14ac:dyDescent="0.2">
      <c r="A74">
        <f t="shared" ref="A74:A75" si="46">A35</f>
        <v>2019</v>
      </c>
      <c r="B74" s="2">
        <f t="shared" ref="B74:B75" si="47">B73*(1+(B35/100))</f>
        <v>2553747.3876868123</v>
      </c>
      <c r="C74" s="2"/>
      <c r="D74" s="2">
        <f t="shared" ref="D74:E74" si="48">D73*(1+(D35/100))</f>
        <v>0</v>
      </c>
      <c r="E74" s="2">
        <f t="shared" si="48"/>
        <v>0</v>
      </c>
      <c r="F74" s="2"/>
      <c r="G74" s="2">
        <f t="shared" ref="G74:H74" si="49">G73*(1+(G35/100))</f>
        <v>0</v>
      </c>
      <c r="H74" s="2">
        <f t="shared" si="49"/>
        <v>0</v>
      </c>
      <c r="I74" s="2">
        <f t="shared" ref="I74:I75" si="50">SUM(B74:H74)</f>
        <v>2553747.3876868123</v>
      </c>
      <c r="J74" s="2">
        <f t="shared" ref="J74:J75" si="51">I74-I73</f>
        <v>611084.14851415204</v>
      </c>
      <c r="K74" s="6">
        <f t="shared" ref="K74:K75" si="52">(J74/I72)</f>
        <v>0.30040479999999997</v>
      </c>
      <c r="L74" s="7">
        <f t="shared" ref="L74:L75" si="53">K74+1</f>
        <v>1.3004047999999999</v>
      </c>
      <c r="O74">
        <f t="shared" ref="O74:O75" si="54">A74</f>
        <v>2019</v>
      </c>
      <c r="P74" s="6">
        <f t="shared" ref="P74:P75" si="55">B74/$I74</f>
        <v>1</v>
      </c>
      <c r="Q74" s="7"/>
      <c r="R74" s="6">
        <f t="shared" ref="R74:R75" si="56">D74/$I74</f>
        <v>0</v>
      </c>
      <c r="S74" s="6">
        <f t="shared" ref="S74:S75" si="57">E74/$I74</f>
        <v>0</v>
      </c>
      <c r="T74" s="7"/>
      <c r="U74" s="6">
        <f t="shared" ref="U74:U75" si="58">G74/$I74</f>
        <v>0</v>
      </c>
      <c r="V74" s="6">
        <f t="shared" ref="V74:V75" si="59">H74/$I74</f>
        <v>0</v>
      </c>
      <c r="W74" s="6">
        <f t="shared" ref="W74:W75" si="60">SUM(P74:V74)</f>
        <v>1</v>
      </c>
      <c r="X74" s="7">
        <f t="shared" ref="X74:X75" si="61">SUM(P74:U74)</f>
        <v>1</v>
      </c>
      <c r="Y74" s="7">
        <f t="shared" ref="Y74:Y75" si="62">W74-(X74+V74)</f>
        <v>0</v>
      </c>
    </row>
    <row r="75" spans="1:25" x14ac:dyDescent="0.2">
      <c r="A75">
        <f t="shared" si="46"/>
        <v>2020</v>
      </c>
      <c r="B75" s="2">
        <f t="shared" si="47"/>
        <v>3022870.7828048798</v>
      </c>
      <c r="C75" s="2"/>
      <c r="D75" s="2">
        <f t="shared" ref="D75:E75" si="63">D74*(1+(D36/100))</f>
        <v>0</v>
      </c>
      <c r="E75" s="2">
        <f t="shared" si="63"/>
        <v>0</v>
      </c>
      <c r="F75" s="2"/>
      <c r="G75" s="2">
        <f t="shared" ref="G75:H75" si="64">G74*(1+(G36/100))</f>
        <v>0</v>
      </c>
      <c r="H75" s="2">
        <f t="shared" si="64"/>
        <v>0</v>
      </c>
      <c r="I75" s="2">
        <f t="shared" si="50"/>
        <v>3022870.7828048798</v>
      </c>
      <c r="J75" s="2">
        <f t="shared" si="51"/>
        <v>469123.39511806751</v>
      </c>
      <c r="K75" s="6">
        <f t="shared" si="52"/>
        <v>0.24148467200000004</v>
      </c>
      <c r="L75" s="7">
        <f t="shared" si="53"/>
        <v>1.2414846720000001</v>
      </c>
      <c r="O75">
        <f t="shared" si="54"/>
        <v>2020</v>
      </c>
      <c r="P75" s="6">
        <f t="shared" si="55"/>
        <v>1</v>
      </c>
      <c r="Q75" s="7"/>
      <c r="R75" s="6">
        <f t="shared" si="56"/>
        <v>0</v>
      </c>
      <c r="S75" s="6">
        <f t="shared" si="57"/>
        <v>0</v>
      </c>
      <c r="T75" s="7"/>
      <c r="U75" s="6">
        <f t="shared" si="58"/>
        <v>0</v>
      </c>
      <c r="V75" s="6">
        <f t="shared" si="59"/>
        <v>0</v>
      </c>
      <c r="W75" s="6">
        <f t="shared" si="60"/>
        <v>1</v>
      </c>
      <c r="X75" s="7">
        <f t="shared" si="61"/>
        <v>1</v>
      </c>
      <c r="Y75" s="7">
        <f t="shared" si="62"/>
        <v>0</v>
      </c>
    </row>
    <row r="76" spans="1:25" x14ac:dyDescent="0.2">
      <c r="A76" s="9" t="s">
        <v>94</v>
      </c>
      <c r="B76" s="10">
        <f>B75</f>
        <v>3022870.7828048798</v>
      </c>
      <c r="C76" s="10"/>
      <c r="D76" s="10">
        <f>D75</f>
        <v>0</v>
      </c>
      <c r="E76" s="10">
        <f>E75</f>
        <v>0</v>
      </c>
      <c r="F76" s="10"/>
      <c r="G76" s="10">
        <f>G75</f>
        <v>0</v>
      </c>
      <c r="H76" s="10">
        <f>H75</f>
        <v>0</v>
      </c>
      <c r="I76" s="52">
        <f>SUM(B76:H76)</f>
        <v>3022870.7828048798</v>
      </c>
      <c r="J76" s="10"/>
      <c r="K76" s="10"/>
      <c r="L76" s="74"/>
      <c r="O76" s="74" t="s">
        <v>132</v>
      </c>
      <c r="P76" s="88">
        <f>P73</f>
        <v>1</v>
      </c>
      <c r="Q76" s="74"/>
      <c r="R76" s="88">
        <f>R73</f>
        <v>0</v>
      </c>
      <c r="S76" s="74"/>
      <c r="T76" s="74"/>
      <c r="U76" s="88">
        <f>U73</f>
        <v>0</v>
      </c>
      <c r="V76" s="88">
        <f>V73</f>
        <v>0</v>
      </c>
      <c r="W76" s="88">
        <f>W73</f>
        <v>1</v>
      </c>
      <c r="X76" s="88">
        <f>X73</f>
        <v>1</v>
      </c>
      <c r="Y76" s="88">
        <f>Y73</f>
        <v>0</v>
      </c>
    </row>
    <row r="77" spans="1:25" x14ac:dyDescent="0.2">
      <c r="A77" s="11" t="s">
        <v>133</v>
      </c>
      <c r="I77" s="51">
        <f>(I76-I42)/I42</f>
        <v>29.228707828048798</v>
      </c>
      <c r="K77" s="6"/>
      <c r="R77" s="7"/>
    </row>
    <row r="78" spans="1:25" x14ac:dyDescent="0.2">
      <c r="A78" s="1" t="s">
        <v>96</v>
      </c>
      <c r="I78" s="29">
        <f>STDEV(L43:L75)</f>
        <v>0.17388943916562963</v>
      </c>
      <c r="S78" s="89"/>
      <c r="T78" s="89"/>
      <c r="U78" s="90" t="s">
        <v>134</v>
      </c>
      <c r="V78" s="89" t="b">
        <f>IF((V75=V76),TRUE,FALSE)</f>
        <v>1</v>
      </c>
      <c r="W78" s="89"/>
      <c r="X78" s="91" t="b">
        <f>IF(((SUM(P75:U75))=X76),TRUE,FALSE)</f>
        <v>1</v>
      </c>
    </row>
    <row r="79" spans="1:25" x14ac:dyDescent="0.2">
      <c r="A79" s="1" t="s">
        <v>135</v>
      </c>
      <c r="I79" s="13">
        <f>((1+I77)^(1/I84))-1</f>
        <v>0.10882037963638314</v>
      </c>
    </row>
    <row r="80" spans="1:25" x14ac:dyDescent="0.2">
      <c r="A80" s="1" t="s">
        <v>98</v>
      </c>
      <c r="I80" s="31">
        <f>J63</f>
        <v>-337023.3665495665</v>
      </c>
    </row>
    <row r="81" spans="1:9" x14ac:dyDescent="0.2">
      <c r="A81" s="1" t="s">
        <v>136</v>
      </c>
      <c r="I81" s="32">
        <f>K63</f>
        <v>-0.37020000000000008</v>
      </c>
    </row>
    <row r="82" spans="1:9" x14ac:dyDescent="0.2">
      <c r="A82" s="3" t="s">
        <v>137</v>
      </c>
      <c r="I82" s="33">
        <f>I75-I76</f>
        <v>0</v>
      </c>
    </row>
    <row r="83" spans="1:9" x14ac:dyDescent="0.2">
      <c r="A83" s="3" t="s">
        <v>138</v>
      </c>
      <c r="I83" s="33">
        <f>((SUM(J43:J75))-(I76-I42))</f>
        <v>0</v>
      </c>
    </row>
    <row r="84" spans="1:9" x14ac:dyDescent="0.2">
      <c r="A84" s="3" t="s">
        <v>139</v>
      </c>
      <c r="I84" s="3">
        <f>COUNTA(I43:I75)</f>
        <v>33</v>
      </c>
    </row>
    <row r="85" spans="1:9" x14ac:dyDescent="0.2">
      <c r="A85" s="95" t="s">
        <v>100</v>
      </c>
      <c r="B85" s="63"/>
      <c r="C85" s="63"/>
      <c r="D85" s="63"/>
      <c r="E85" s="63"/>
      <c r="G85" s="63"/>
      <c r="H85" s="63"/>
      <c r="I85" s="94">
        <f>X76</f>
        <v>1</v>
      </c>
    </row>
    <row r="86" spans="1:9" x14ac:dyDescent="0.2">
      <c r="A86" s="95" t="s">
        <v>179</v>
      </c>
      <c r="B86" s="2"/>
      <c r="D86" s="2"/>
      <c r="E86" s="2"/>
      <c r="G86" s="2"/>
      <c r="H86" s="2"/>
      <c r="I86" s="94">
        <f>V76</f>
        <v>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2" ma:contentTypeDescription="Create a new document." ma:contentTypeScope="" ma:versionID="3905df52c42a36801a6735ed7bd84f1b">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45be3c20d3bd38be271e46a713ea785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579F33-232B-4A0F-B47A-9D68CA3C9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C12A8A-BF6D-415B-A219-A196E3EE240C}">
  <ds:schemaRefs>
    <ds:schemaRef ds:uri="http://schemas.microsoft.com/sharepoint/v3/contenttype/forms"/>
  </ds:schemaRefs>
</ds:datastoreItem>
</file>

<file path=customXml/itemProps3.xml><?xml version="1.0" encoding="utf-8"?>
<ds:datastoreItem xmlns:ds="http://schemas.openxmlformats.org/officeDocument/2006/customXml" ds:itemID="{5CA30148-9F02-4A58-8492-EA3CD35ABF66}">
  <ds:schemaRefs>
    <ds:schemaRef ds:uri="http://purl.org/dc/terms/"/>
    <ds:schemaRef ds:uri="82c3c91a-b27f-479b-a1cf-20b7ccb02467"/>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02ddc3e8-f108-40d9-a153-651a8080053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1</vt:i4>
      </vt:variant>
    </vt:vector>
  </HeadingPairs>
  <TitlesOfParts>
    <vt:vector size="23"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4% Withdrawals-No Rebalancing</vt:lpstr>
      <vt:lpstr>4% Withdrawals-Rebalanced</vt:lpstr>
      <vt:lpstr>4% Withdrawals-Annual Rebalance</vt:lpstr>
      <vt:lpstr>4% Withdrawals-Panic</vt:lpstr>
      <vt:lpstr>Panic Chart</vt:lpstr>
      <vt:lpstr>Chart Data</vt:lpstr>
      <vt:lpstr>Staying vs Panicking</vt:lpstr>
      <vt:lpstr>Summary!Print_Area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Rotblut</dc:creator>
  <cp:keywords/>
  <dc:description/>
  <cp:lastModifiedBy>Charles Rotblut</cp:lastModifiedBy>
  <cp:revision/>
  <cp:lastPrinted>2020-02-10T17:50:23Z</cp:lastPrinted>
  <dcterms:created xsi:type="dcterms:W3CDTF">2014-01-10T23:26:08Z</dcterms:created>
  <dcterms:modified xsi:type="dcterms:W3CDTF">2021-02-22T21:29:24Z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AuthorIds_UIVersion_13824">
    <vt:lpwstr>10</vt:lpwstr>
  </property>
</Properties>
</file>